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3"/>
  <workbookPr/>
  <mc:AlternateContent xmlns:mc="http://schemas.openxmlformats.org/markup-compatibility/2006">
    <mc:Choice Requires="x15">
      <x15ac:absPath xmlns:x15ac="http://schemas.microsoft.com/office/spreadsheetml/2010/11/ac" url="/Users/ashutoshjaiswal/Documents/Python/Models and Codes/Financial Statement and Business Model Analysis/"/>
    </mc:Choice>
  </mc:AlternateContent>
  <xr:revisionPtr revIDLastSave="0" documentId="13_ncr:1_{F3A4347F-67C9-294E-88FE-5481E2165DE3}" xr6:coauthVersionLast="47" xr6:coauthVersionMax="47" xr10:uidLastSave="{00000000-0000-0000-0000-000000000000}"/>
  <bookViews>
    <workbookView xWindow="0" yWindow="600" windowWidth="38400" windowHeight="19460" tabRatio="599" xr2:uid="{00000000-000D-0000-FFFF-FFFF00000000}"/>
  </bookViews>
  <sheets>
    <sheet name="BS" sheetId="3" r:id="rId1"/>
    <sheet name="P&amp;L" sheetId="4" r:id="rId2"/>
    <sheet name="Sheet1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3" l="1"/>
  <c r="D28" i="3"/>
  <c r="E28" i="3"/>
  <c r="F28" i="3"/>
  <c r="G28" i="3"/>
  <c r="H28" i="3"/>
  <c r="I28" i="3"/>
  <c r="J28" i="3"/>
  <c r="K28" i="3"/>
  <c r="L28" i="3"/>
  <c r="M28" i="3"/>
  <c r="N28" i="3"/>
  <c r="O28" i="3"/>
  <c r="B28" i="3"/>
  <c r="C5" i="3"/>
  <c r="D5" i="3"/>
  <c r="E5" i="3"/>
  <c r="F5" i="3"/>
  <c r="G5" i="3"/>
  <c r="H5" i="3"/>
  <c r="I5" i="3"/>
  <c r="J5" i="3"/>
  <c r="K5" i="3"/>
  <c r="L5" i="3"/>
  <c r="M5" i="3"/>
  <c r="N5" i="3"/>
  <c r="O5" i="3"/>
  <c r="B5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B19" i="3"/>
  <c r="C8" i="3"/>
  <c r="D8" i="3"/>
  <c r="E8" i="3"/>
  <c r="F8" i="3"/>
  <c r="G8" i="3"/>
  <c r="H8" i="3"/>
  <c r="I8" i="3"/>
  <c r="J8" i="3"/>
  <c r="K8" i="3"/>
  <c r="L8" i="3"/>
  <c r="M8" i="3"/>
  <c r="N8" i="3"/>
  <c r="O8" i="3"/>
  <c r="B8" i="3"/>
  <c r="B69" i="5"/>
  <c r="C39" i="5"/>
  <c r="C30" i="5"/>
  <c r="B31" i="5"/>
  <c r="D32" i="5"/>
  <c r="B172" i="5"/>
  <c r="I170" i="5" s="1"/>
  <c r="L170" i="5"/>
  <c r="K170" i="5"/>
  <c r="J170" i="5"/>
  <c r="H170" i="5"/>
  <c r="G170" i="5"/>
  <c r="F170" i="5"/>
  <c r="E170" i="5"/>
  <c r="D170" i="5"/>
  <c r="C170" i="5"/>
  <c r="L169" i="5"/>
  <c r="J169" i="5"/>
  <c r="I169" i="5"/>
  <c r="H169" i="5"/>
  <c r="G169" i="5"/>
  <c r="C169" i="5"/>
  <c r="B169" i="5"/>
  <c r="O167" i="5"/>
  <c r="N167" i="5"/>
  <c r="L167" i="5"/>
  <c r="K167" i="5"/>
  <c r="J167" i="5"/>
  <c r="I167" i="5"/>
  <c r="H167" i="5"/>
  <c r="G167" i="5"/>
  <c r="F167" i="5"/>
  <c r="E167" i="5"/>
  <c r="D167" i="5"/>
  <c r="C167" i="5"/>
  <c r="L166" i="5"/>
  <c r="K166" i="5"/>
  <c r="J166" i="5"/>
  <c r="I166" i="5"/>
  <c r="H166" i="5"/>
  <c r="G166" i="5"/>
  <c r="F166" i="5"/>
  <c r="E166" i="5"/>
  <c r="D166" i="5"/>
  <c r="C166" i="5"/>
  <c r="B166" i="5"/>
  <c r="L165" i="5"/>
  <c r="K165" i="5"/>
  <c r="J165" i="5"/>
  <c r="I165" i="5"/>
  <c r="H165" i="5"/>
  <c r="G165" i="5"/>
  <c r="F165" i="5"/>
  <c r="E165" i="5"/>
  <c r="D165" i="5"/>
  <c r="C165" i="5"/>
  <c r="I163" i="5"/>
  <c r="H163" i="5"/>
  <c r="F163" i="5"/>
  <c r="E163" i="5"/>
  <c r="D163" i="5"/>
  <c r="C163" i="5"/>
  <c r="L162" i="5"/>
  <c r="K162" i="5"/>
  <c r="J162" i="5"/>
  <c r="G162" i="5"/>
  <c r="F162" i="5"/>
  <c r="E162" i="5"/>
  <c r="C159" i="5"/>
  <c r="L157" i="5"/>
  <c r="K157" i="5"/>
  <c r="J157" i="5"/>
  <c r="I157" i="5"/>
  <c r="H157" i="5"/>
  <c r="G157" i="5"/>
  <c r="F157" i="5"/>
  <c r="E157" i="5"/>
  <c r="D157" i="5"/>
  <c r="C157" i="5"/>
  <c r="K156" i="5"/>
  <c r="J156" i="5"/>
  <c r="I156" i="5"/>
  <c r="H156" i="5"/>
  <c r="G156" i="5"/>
  <c r="F156" i="5"/>
  <c r="E156" i="5"/>
  <c r="D156" i="5"/>
  <c r="C156" i="5"/>
  <c r="O155" i="5"/>
  <c r="L155" i="5"/>
  <c r="K155" i="5"/>
  <c r="J155" i="5"/>
  <c r="I155" i="5"/>
  <c r="H155" i="5"/>
  <c r="G155" i="5"/>
  <c r="F155" i="5"/>
  <c r="E155" i="5"/>
  <c r="D155" i="5"/>
  <c r="C155" i="5"/>
  <c r="L154" i="5"/>
  <c r="K154" i="5"/>
  <c r="J154" i="5"/>
  <c r="I154" i="5"/>
  <c r="H154" i="5"/>
  <c r="G154" i="5"/>
  <c r="F154" i="5"/>
  <c r="E154" i="5"/>
  <c r="D154" i="5"/>
  <c r="C154" i="5"/>
  <c r="L153" i="5"/>
  <c r="K153" i="5"/>
  <c r="J153" i="5"/>
  <c r="I153" i="5"/>
  <c r="H153" i="5"/>
  <c r="G153" i="5"/>
  <c r="F153" i="5"/>
  <c r="E153" i="5"/>
  <c r="D153" i="5"/>
  <c r="C153" i="5"/>
  <c r="K152" i="5"/>
  <c r="J152" i="5"/>
  <c r="K151" i="5"/>
  <c r="J151" i="5"/>
  <c r="I151" i="5"/>
  <c r="H151" i="5"/>
  <c r="G151" i="5"/>
  <c r="F151" i="5"/>
  <c r="E151" i="5"/>
  <c r="D151" i="5"/>
  <c r="C151" i="5"/>
  <c r="L149" i="5"/>
  <c r="K149" i="5"/>
  <c r="J149" i="5"/>
  <c r="I149" i="5"/>
  <c r="H149" i="5"/>
  <c r="G149" i="5"/>
  <c r="F149" i="5"/>
  <c r="E149" i="5"/>
  <c r="D149" i="5"/>
  <c r="C149" i="5"/>
  <c r="L148" i="5"/>
  <c r="K148" i="5"/>
  <c r="J148" i="5"/>
  <c r="I148" i="5"/>
  <c r="H148" i="5"/>
  <c r="G148" i="5"/>
  <c r="F148" i="5"/>
  <c r="E148" i="5"/>
  <c r="D148" i="5"/>
  <c r="C148" i="5"/>
  <c r="L147" i="5"/>
  <c r="K147" i="5"/>
  <c r="J147" i="5"/>
  <c r="I147" i="5"/>
  <c r="H147" i="5"/>
  <c r="G147" i="5"/>
  <c r="F147" i="5"/>
  <c r="E147" i="5"/>
  <c r="D147" i="5"/>
  <c r="C147" i="5"/>
  <c r="M143" i="5"/>
  <c r="L143" i="5"/>
  <c r="K143" i="5"/>
  <c r="J143" i="5"/>
  <c r="I143" i="5"/>
  <c r="H143" i="5"/>
  <c r="G143" i="5"/>
  <c r="F143" i="5"/>
  <c r="E143" i="5"/>
  <c r="D143" i="5"/>
  <c r="C143" i="5"/>
  <c r="O141" i="5"/>
  <c r="N141" i="5"/>
  <c r="N156" i="5" s="1"/>
  <c r="M141" i="5"/>
  <c r="B141" i="5"/>
  <c r="O140" i="5"/>
  <c r="O166" i="5" s="1"/>
  <c r="N140" i="5"/>
  <c r="M140" i="5"/>
  <c r="M166" i="5" s="1"/>
  <c r="B140" i="5"/>
  <c r="O137" i="5"/>
  <c r="N137" i="5"/>
  <c r="M137" i="5"/>
  <c r="B137" i="5"/>
  <c r="O136" i="5"/>
  <c r="N136" i="5"/>
  <c r="M136" i="5"/>
  <c r="B136" i="5"/>
  <c r="O135" i="5"/>
  <c r="O165" i="5" s="1"/>
  <c r="N135" i="5"/>
  <c r="M135" i="5"/>
  <c r="M165" i="5" s="1"/>
  <c r="B135" i="5"/>
  <c r="O134" i="5"/>
  <c r="N134" i="5"/>
  <c r="M134" i="5"/>
  <c r="B134" i="5"/>
  <c r="N133" i="5"/>
  <c r="L133" i="5"/>
  <c r="K133" i="5"/>
  <c r="J133" i="5"/>
  <c r="I133" i="5"/>
  <c r="O133" i="5" s="1"/>
  <c r="H133" i="5"/>
  <c r="G133" i="5"/>
  <c r="F133" i="5"/>
  <c r="E133" i="5"/>
  <c r="D133" i="5"/>
  <c r="C133" i="5"/>
  <c r="M133" i="5" s="1"/>
  <c r="O131" i="5"/>
  <c r="N131" i="5"/>
  <c r="M131" i="5"/>
  <c r="B131" i="5"/>
  <c r="O130" i="5"/>
  <c r="N130" i="5"/>
  <c r="M130" i="5"/>
  <c r="B130" i="5"/>
  <c r="O129" i="5"/>
  <c r="N129" i="5"/>
  <c r="M129" i="5"/>
  <c r="B129" i="5"/>
  <c r="O128" i="5"/>
  <c r="N128" i="5"/>
  <c r="M128" i="5"/>
  <c r="B128" i="5"/>
  <c r="B165" i="5" s="1"/>
  <c r="L127" i="5"/>
  <c r="K127" i="5"/>
  <c r="J127" i="5"/>
  <c r="I127" i="5"/>
  <c r="O127" i="5" s="1"/>
  <c r="H127" i="5"/>
  <c r="G127" i="5"/>
  <c r="F127" i="5"/>
  <c r="E127" i="5"/>
  <c r="N127" i="5" s="1"/>
  <c r="D127" i="5"/>
  <c r="C127" i="5"/>
  <c r="M124" i="5"/>
  <c r="B124" i="5"/>
  <c r="O123" i="5"/>
  <c r="O124" i="5" s="1"/>
  <c r="N123" i="5"/>
  <c r="N124" i="5" s="1"/>
  <c r="M123" i="5"/>
  <c r="B123" i="5"/>
  <c r="O122" i="5"/>
  <c r="N122" i="5"/>
  <c r="M122" i="5"/>
  <c r="O121" i="5"/>
  <c r="N121" i="5"/>
  <c r="M121" i="5"/>
  <c r="B121" i="5"/>
  <c r="B122" i="5" s="1"/>
  <c r="O118" i="5"/>
  <c r="N118" i="5"/>
  <c r="M118" i="5"/>
  <c r="B118" i="5"/>
  <c r="O117" i="5"/>
  <c r="N117" i="5"/>
  <c r="M117" i="5"/>
  <c r="B117" i="5"/>
  <c r="O116" i="5"/>
  <c r="N116" i="5"/>
  <c r="M116" i="5"/>
  <c r="B116" i="5"/>
  <c r="O115" i="5"/>
  <c r="N115" i="5"/>
  <c r="M115" i="5"/>
  <c r="B115" i="5"/>
  <c r="O114" i="5"/>
  <c r="N114" i="5"/>
  <c r="M114" i="5"/>
  <c r="B114" i="5"/>
  <c r="O113" i="5"/>
  <c r="N113" i="5"/>
  <c r="M113" i="5"/>
  <c r="B113" i="5"/>
  <c r="O112" i="5"/>
  <c r="N112" i="5"/>
  <c r="M112" i="5"/>
  <c r="B112" i="5"/>
  <c r="O111" i="5"/>
  <c r="N111" i="5"/>
  <c r="M111" i="5"/>
  <c r="B111" i="5"/>
  <c r="O110" i="5"/>
  <c r="N110" i="5"/>
  <c r="M110" i="5"/>
  <c r="B110" i="5"/>
  <c r="O109" i="5"/>
  <c r="N109" i="5"/>
  <c r="M109" i="5"/>
  <c r="B109" i="5"/>
  <c r="O94" i="5"/>
  <c r="M94" i="5"/>
  <c r="L94" i="5"/>
  <c r="K94" i="5"/>
  <c r="J94" i="5"/>
  <c r="I94" i="5"/>
  <c r="H94" i="5"/>
  <c r="G94" i="5"/>
  <c r="F94" i="5"/>
  <c r="N94" i="5" s="1"/>
  <c r="E94" i="5"/>
  <c r="D94" i="5"/>
  <c r="C94" i="5"/>
  <c r="L93" i="5"/>
  <c r="K93" i="5"/>
  <c r="J93" i="5"/>
  <c r="I93" i="5"/>
  <c r="O93" i="5" s="1"/>
  <c r="H93" i="5"/>
  <c r="H152" i="5" s="1"/>
  <c r="G93" i="5"/>
  <c r="G152" i="5" s="1"/>
  <c r="F93" i="5"/>
  <c r="F152" i="5" s="1"/>
  <c r="E93" i="5"/>
  <c r="N93" i="5" s="1"/>
  <c r="N152" i="5" s="1"/>
  <c r="D93" i="5"/>
  <c r="D152" i="5" s="1"/>
  <c r="C93" i="5"/>
  <c r="C152" i="5" s="1"/>
  <c r="K92" i="5"/>
  <c r="J92" i="5"/>
  <c r="I92" i="5"/>
  <c r="H92" i="5"/>
  <c r="G92" i="5"/>
  <c r="F92" i="5"/>
  <c r="E92" i="5"/>
  <c r="D92" i="5"/>
  <c r="C92" i="5"/>
  <c r="O89" i="5"/>
  <c r="N89" i="5"/>
  <c r="M89" i="5"/>
  <c r="B89" i="5"/>
  <c r="M88" i="5"/>
  <c r="L88" i="5"/>
  <c r="L163" i="5" s="1"/>
  <c r="K88" i="5"/>
  <c r="K163" i="5" s="1"/>
  <c r="J88" i="5"/>
  <c r="J163" i="5" s="1"/>
  <c r="I88" i="5"/>
  <c r="H88" i="5"/>
  <c r="H162" i="5" s="1"/>
  <c r="G88" i="5"/>
  <c r="G163" i="5" s="1"/>
  <c r="F88" i="5"/>
  <c r="E88" i="5"/>
  <c r="D88" i="5"/>
  <c r="D162" i="5" s="1"/>
  <c r="C88" i="5"/>
  <c r="C162" i="5" s="1"/>
  <c r="O85" i="5"/>
  <c r="O148" i="5" s="1"/>
  <c r="N85" i="5"/>
  <c r="N148" i="5" s="1"/>
  <c r="M85" i="5"/>
  <c r="M148" i="5" s="1"/>
  <c r="B85" i="5"/>
  <c r="B148" i="5" s="1"/>
  <c r="O84" i="5"/>
  <c r="O147" i="5" s="1"/>
  <c r="N84" i="5"/>
  <c r="N147" i="5" s="1"/>
  <c r="M84" i="5"/>
  <c r="B84" i="5"/>
  <c r="B147" i="5" s="1"/>
  <c r="O83" i="5"/>
  <c r="O157" i="5" s="1"/>
  <c r="N83" i="5"/>
  <c r="M83" i="5"/>
  <c r="M147" i="5" s="1"/>
  <c r="B83" i="5"/>
  <c r="B157" i="5" s="1"/>
  <c r="C79" i="5"/>
  <c r="F78" i="5"/>
  <c r="C78" i="5"/>
  <c r="E77" i="5"/>
  <c r="D77" i="5"/>
  <c r="C77" i="5"/>
  <c r="L76" i="5"/>
  <c r="K76" i="5"/>
  <c r="J76" i="5"/>
  <c r="I76" i="5"/>
  <c r="H76" i="5"/>
  <c r="G76" i="5"/>
  <c r="F76" i="5"/>
  <c r="E76" i="5"/>
  <c r="D76" i="5"/>
  <c r="C76" i="5"/>
  <c r="L75" i="5"/>
  <c r="K75" i="5"/>
  <c r="J75" i="5"/>
  <c r="I75" i="5"/>
  <c r="H75" i="5"/>
  <c r="G75" i="5"/>
  <c r="F75" i="5"/>
  <c r="E75" i="5"/>
  <c r="D75" i="5"/>
  <c r="C75" i="5"/>
  <c r="B75" i="5"/>
  <c r="L74" i="5"/>
  <c r="J74" i="5"/>
  <c r="I74" i="5"/>
  <c r="H74" i="5"/>
  <c r="G74" i="5"/>
  <c r="F74" i="5"/>
  <c r="E74" i="5"/>
  <c r="D74" i="5"/>
  <c r="C74" i="5"/>
  <c r="O73" i="5"/>
  <c r="L73" i="5"/>
  <c r="K73" i="5"/>
  <c r="J73" i="5"/>
  <c r="I73" i="5"/>
  <c r="H73" i="5"/>
  <c r="G73" i="5"/>
  <c r="F73" i="5"/>
  <c r="E73" i="5"/>
  <c r="D73" i="5"/>
  <c r="C73" i="5"/>
  <c r="L72" i="5"/>
  <c r="K72" i="5"/>
  <c r="J72" i="5"/>
  <c r="I72" i="5"/>
  <c r="H72" i="5"/>
  <c r="G72" i="5"/>
  <c r="F72" i="5"/>
  <c r="E72" i="5"/>
  <c r="D72" i="5"/>
  <c r="C72" i="5"/>
  <c r="B72" i="5"/>
  <c r="O71" i="5"/>
  <c r="L71" i="5"/>
  <c r="K71" i="5"/>
  <c r="J71" i="5"/>
  <c r="I71" i="5"/>
  <c r="H71" i="5"/>
  <c r="G71" i="5"/>
  <c r="F71" i="5"/>
  <c r="E71" i="5"/>
  <c r="D71" i="5"/>
  <c r="C71" i="5"/>
  <c r="B71" i="5"/>
  <c r="L70" i="5"/>
  <c r="J70" i="5"/>
  <c r="I70" i="5"/>
  <c r="E70" i="5"/>
  <c r="L69" i="5"/>
  <c r="K69" i="5"/>
  <c r="J69" i="5"/>
  <c r="I69" i="5"/>
  <c r="H69" i="5"/>
  <c r="G69" i="5"/>
  <c r="F69" i="5"/>
  <c r="E69" i="5"/>
  <c r="D69" i="5"/>
  <c r="C69" i="5"/>
  <c r="L66" i="5"/>
  <c r="K66" i="5"/>
  <c r="J66" i="5"/>
  <c r="I66" i="5"/>
  <c r="H66" i="5"/>
  <c r="G66" i="5"/>
  <c r="F66" i="5"/>
  <c r="E66" i="5"/>
  <c r="D66" i="5"/>
  <c r="C66" i="5"/>
  <c r="L65" i="5"/>
  <c r="K65" i="5"/>
  <c r="J65" i="5"/>
  <c r="I65" i="5"/>
  <c r="H65" i="5"/>
  <c r="G65" i="5"/>
  <c r="F65" i="5"/>
  <c r="E65" i="5"/>
  <c r="D65" i="5"/>
  <c r="C65" i="5"/>
  <c r="L64" i="5"/>
  <c r="K64" i="5"/>
  <c r="J64" i="5"/>
  <c r="I64" i="5"/>
  <c r="H64" i="5"/>
  <c r="G64" i="5"/>
  <c r="F64" i="5"/>
  <c r="E64" i="5"/>
  <c r="D64" i="5"/>
  <c r="C64" i="5"/>
  <c r="B64" i="5"/>
  <c r="L63" i="5"/>
  <c r="K63" i="5"/>
  <c r="J63" i="5"/>
  <c r="I63" i="5"/>
  <c r="H63" i="5"/>
  <c r="G63" i="5"/>
  <c r="F63" i="5"/>
  <c r="E63" i="5"/>
  <c r="D63" i="5"/>
  <c r="C63" i="5"/>
  <c r="L62" i="5"/>
  <c r="K62" i="5"/>
  <c r="J62" i="5"/>
  <c r="I62" i="5"/>
  <c r="H62" i="5"/>
  <c r="G62" i="5"/>
  <c r="F62" i="5"/>
  <c r="E62" i="5"/>
  <c r="D62" i="5"/>
  <c r="C62" i="5"/>
  <c r="L61" i="5"/>
  <c r="K61" i="5"/>
  <c r="J61" i="5"/>
  <c r="I61" i="5"/>
  <c r="H61" i="5"/>
  <c r="G61" i="5"/>
  <c r="F61" i="5"/>
  <c r="E61" i="5"/>
  <c r="D61" i="5"/>
  <c r="C61" i="5"/>
  <c r="B61" i="5"/>
  <c r="L60" i="5"/>
  <c r="K60" i="5"/>
  <c r="J60" i="5"/>
  <c r="I60" i="5"/>
  <c r="H60" i="5"/>
  <c r="G60" i="5"/>
  <c r="F60" i="5"/>
  <c r="E60" i="5"/>
  <c r="D60" i="5"/>
  <c r="C60" i="5"/>
  <c r="L59" i="5"/>
  <c r="K59" i="5"/>
  <c r="J59" i="5"/>
  <c r="I59" i="5"/>
  <c r="H59" i="5"/>
  <c r="G59" i="5"/>
  <c r="F59" i="5"/>
  <c r="E59" i="5"/>
  <c r="D59" i="5"/>
  <c r="C59" i="5"/>
  <c r="L58" i="5"/>
  <c r="F58" i="5"/>
  <c r="E58" i="5"/>
  <c r="I56" i="5"/>
  <c r="L55" i="5"/>
  <c r="K55" i="5"/>
  <c r="J55" i="5"/>
  <c r="I55" i="5"/>
  <c r="H55" i="5"/>
  <c r="G55" i="5"/>
  <c r="F55" i="5"/>
  <c r="E55" i="5"/>
  <c r="D55" i="5"/>
  <c r="C55" i="5"/>
  <c r="L54" i="5"/>
  <c r="K54" i="5"/>
  <c r="J54" i="5"/>
  <c r="I54" i="5"/>
  <c r="H54" i="5"/>
  <c r="G54" i="5"/>
  <c r="F54" i="5"/>
  <c r="E54" i="5"/>
  <c r="D54" i="5"/>
  <c r="C54" i="5"/>
  <c r="B54" i="5"/>
  <c r="L53" i="5"/>
  <c r="K53" i="5"/>
  <c r="J53" i="5"/>
  <c r="I53" i="5"/>
  <c r="H53" i="5"/>
  <c r="G53" i="5"/>
  <c r="F53" i="5"/>
  <c r="E53" i="5"/>
  <c r="D53" i="5"/>
  <c r="C53" i="5"/>
  <c r="B53" i="5"/>
  <c r="L52" i="5"/>
  <c r="K52" i="5"/>
  <c r="J52" i="5"/>
  <c r="D52" i="5"/>
  <c r="C52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I50" i="5"/>
  <c r="K49" i="5"/>
  <c r="J49" i="5"/>
  <c r="I49" i="5"/>
  <c r="F49" i="5"/>
  <c r="E49" i="5"/>
  <c r="D49" i="5"/>
  <c r="L48" i="5"/>
  <c r="K48" i="5"/>
  <c r="J48" i="5"/>
  <c r="I48" i="5"/>
  <c r="H48" i="5"/>
  <c r="G48" i="5"/>
  <c r="F48" i="5"/>
  <c r="E48" i="5"/>
  <c r="D48" i="5"/>
  <c r="C48" i="5"/>
  <c r="B48" i="5"/>
  <c r="L47" i="5"/>
  <c r="K47" i="5"/>
  <c r="J47" i="5"/>
  <c r="I47" i="5"/>
  <c r="H47" i="5"/>
  <c r="G47" i="5"/>
  <c r="F47" i="5"/>
  <c r="E47" i="5"/>
  <c r="D47" i="5"/>
  <c r="C47" i="5"/>
  <c r="K46" i="5"/>
  <c r="J46" i="5"/>
  <c r="I46" i="5"/>
  <c r="H46" i="5"/>
  <c r="G46" i="5"/>
  <c r="F46" i="5"/>
  <c r="E46" i="5"/>
  <c r="D46" i="5"/>
  <c r="C46" i="5"/>
  <c r="L45" i="5"/>
  <c r="K45" i="5"/>
  <c r="J45" i="5"/>
  <c r="I45" i="5"/>
  <c r="H45" i="5"/>
  <c r="G45" i="5"/>
  <c r="F45" i="5"/>
  <c r="E45" i="5"/>
  <c r="D45" i="5"/>
  <c r="C45" i="5"/>
  <c r="B45" i="5"/>
  <c r="L44" i="5"/>
  <c r="K44" i="5"/>
  <c r="J44" i="5"/>
  <c r="I44" i="5"/>
  <c r="H44" i="5"/>
  <c r="G44" i="5"/>
  <c r="F44" i="5"/>
  <c r="E44" i="5"/>
  <c r="D44" i="5"/>
  <c r="C44" i="5"/>
  <c r="B44" i="5"/>
  <c r="F41" i="5"/>
  <c r="D41" i="5"/>
  <c r="D79" i="5" s="1"/>
  <c r="M40" i="5"/>
  <c r="M78" i="5" s="1"/>
  <c r="L40" i="5"/>
  <c r="L78" i="5" s="1"/>
  <c r="F40" i="5"/>
  <c r="M39" i="5"/>
  <c r="L39" i="5"/>
  <c r="I39" i="5"/>
  <c r="H39" i="5"/>
  <c r="G39" i="5"/>
  <c r="G77" i="5" s="1"/>
  <c r="F39" i="5"/>
  <c r="F77" i="5" s="1"/>
  <c r="E39" i="5"/>
  <c r="E40" i="5" s="1"/>
  <c r="E78" i="5" s="1"/>
  <c r="D39" i="5"/>
  <c r="D40" i="5" s="1"/>
  <c r="C41" i="5"/>
  <c r="O38" i="5"/>
  <c r="N38" i="5"/>
  <c r="M38" i="5"/>
  <c r="B38" i="5"/>
  <c r="B76" i="5" s="1"/>
  <c r="O37" i="5"/>
  <c r="O75" i="5" s="1"/>
  <c r="N37" i="5"/>
  <c r="N75" i="5" s="1"/>
  <c r="M37" i="5"/>
  <c r="M75" i="5" s="1"/>
  <c r="K37" i="5"/>
  <c r="B37" i="5"/>
  <c r="N36" i="5"/>
  <c r="M36" i="5"/>
  <c r="K36" i="5"/>
  <c r="J36" i="5"/>
  <c r="O35" i="5"/>
  <c r="N35" i="5"/>
  <c r="M35" i="5"/>
  <c r="M73" i="5" s="1"/>
  <c r="B35" i="5"/>
  <c r="B73" i="5" s="1"/>
  <c r="O34" i="5"/>
  <c r="N34" i="5"/>
  <c r="M34" i="5"/>
  <c r="B34" i="5"/>
  <c r="O33" i="5"/>
  <c r="N33" i="5"/>
  <c r="M33" i="5"/>
  <c r="B33" i="5"/>
  <c r="M32" i="5"/>
  <c r="K32" i="5"/>
  <c r="J32" i="5"/>
  <c r="I32" i="5"/>
  <c r="H32" i="5"/>
  <c r="H70" i="5" s="1"/>
  <c r="G32" i="5"/>
  <c r="G70" i="5" s="1"/>
  <c r="F32" i="5"/>
  <c r="N32" i="5" s="1"/>
  <c r="N70" i="5" s="1"/>
  <c r="E32" i="5"/>
  <c r="C32" i="5"/>
  <c r="C70" i="5" s="1"/>
  <c r="O31" i="5"/>
  <c r="N31" i="5"/>
  <c r="M31" i="5"/>
  <c r="O28" i="5"/>
  <c r="N28" i="5"/>
  <c r="N155" i="5" s="1"/>
  <c r="M28" i="5"/>
  <c r="M155" i="5" s="1"/>
  <c r="B28" i="5"/>
  <c r="B155" i="5" s="1"/>
  <c r="O27" i="5"/>
  <c r="O65" i="5" s="1"/>
  <c r="N27" i="5"/>
  <c r="M27" i="5"/>
  <c r="B27" i="5"/>
  <c r="B65" i="5" s="1"/>
  <c r="O26" i="5"/>
  <c r="N26" i="5"/>
  <c r="N64" i="5" s="1"/>
  <c r="M26" i="5"/>
  <c r="M64" i="5" s="1"/>
  <c r="B26" i="5"/>
  <c r="O25" i="5"/>
  <c r="N25" i="5"/>
  <c r="M25" i="5"/>
  <c r="M63" i="5" s="1"/>
  <c r="B25" i="5"/>
  <c r="B63" i="5" s="1"/>
  <c r="O24" i="5"/>
  <c r="O62" i="5" s="1"/>
  <c r="N24" i="5"/>
  <c r="M24" i="5"/>
  <c r="B24" i="5"/>
  <c r="B62" i="5" s="1"/>
  <c r="O23" i="5"/>
  <c r="N23" i="5"/>
  <c r="M23" i="5"/>
  <c r="M61" i="5" s="1"/>
  <c r="B23" i="5"/>
  <c r="O22" i="5"/>
  <c r="N22" i="5"/>
  <c r="M22" i="5"/>
  <c r="B22" i="5"/>
  <c r="B60" i="5" s="1"/>
  <c r="O21" i="5"/>
  <c r="O59" i="5" s="1"/>
  <c r="N21" i="5"/>
  <c r="M21" i="5"/>
  <c r="B21" i="5"/>
  <c r="B59" i="5" s="1"/>
  <c r="M20" i="5"/>
  <c r="M58" i="5" s="1"/>
  <c r="L20" i="5"/>
  <c r="K20" i="5"/>
  <c r="K58" i="5" s="1"/>
  <c r="J20" i="5"/>
  <c r="J58" i="5" s="1"/>
  <c r="I20" i="5"/>
  <c r="I58" i="5" s="1"/>
  <c r="H20" i="5"/>
  <c r="H58" i="5" s="1"/>
  <c r="G20" i="5"/>
  <c r="N20" i="5" s="1"/>
  <c r="N58" i="5" s="1"/>
  <c r="F20" i="5"/>
  <c r="E20" i="5"/>
  <c r="D20" i="5"/>
  <c r="D58" i="5" s="1"/>
  <c r="C20" i="5"/>
  <c r="C58" i="5" s="1"/>
  <c r="I18" i="5"/>
  <c r="D18" i="5"/>
  <c r="D56" i="5" s="1"/>
  <c r="C18" i="5"/>
  <c r="O17" i="5"/>
  <c r="N17" i="5"/>
  <c r="M17" i="5"/>
  <c r="B17" i="5"/>
  <c r="B55" i="5" s="1"/>
  <c r="O16" i="5"/>
  <c r="O54" i="5" s="1"/>
  <c r="N16" i="5"/>
  <c r="N54" i="5" s="1"/>
  <c r="M16" i="5"/>
  <c r="B16" i="5"/>
  <c r="O15" i="5"/>
  <c r="O53" i="5" s="1"/>
  <c r="N15" i="5"/>
  <c r="N53" i="5" s="1"/>
  <c r="M15" i="5"/>
  <c r="M53" i="5" s="1"/>
  <c r="B15" i="5"/>
  <c r="M14" i="5"/>
  <c r="L14" i="5"/>
  <c r="K14" i="5"/>
  <c r="J14" i="5"/>
  <c r="I14" i="5"/>
  <c r="I52" i="5" s="1"/>
  <c r="H14" i="5"/>
  <c r="H52" i="5" s="1"/>
  <c r="G14" i="5"/>
  <c r="F14" i="5"/>
  <c r="F52" i="5" s="1"/>
  <c r="E14" i="5"/>
  <c r="E52" i="5" s="1"/>
  <c r="D14" i="5"/>
  <c r="C14" i="5"/>
  <c r="C12" i="5" s="1"/>
  <c r="O13" i="5"/>
  <c r="O143" i="5" s="1"/>
  <c r="N13" i="5"/>
  <c r="N143" i="5" s="1"/>
  <c r="M13" i="5"/>
  <c r="M167" i="5" s="1"/>
  <c r="B13" i="5"/>
  <c r="B143" i="5" s="1"/>
  <c r="L12" i="5"/>
  <c r="L50" i="5" s="1"/>
  <c r="K12" i="5"/>
  <c r="I12" i="5"/>
  <c r="F12" i="5"/>
  <c r="F50" i="5" s="1"/>
  <c r="D12" i="5"/>
  <c r="D50" i="5" s="1"/>
  <c r="N11" i="5"/>
  <c r="N49" i="5" s="1"/>
  <c r="K11" i="5"/>
  <c r="J11" i="5"/>
  <c r="I11" i="5"/>
  <c r="H11" i="5"/>
  <c r="H49" i="5" s="1"/>
  <c r="G11" i="5"/>
  <c r="F11" i="5"/>
  <c r="F18" i="5" s="1"/>
  <c r="F56" i="5" s="1"/>
  <c r="E11" i="5"/>
  <c r="D11" i="5"/>
  <c r="C11" i="5"/>
  <c r="C49" i="5" s="1"/>
  <c r="O10" i="5"/>
  <c r="N10" i="5"/>
  <c r="M10" i="5"/>
  <c r="B10" i="5"/>
  <c r="O9" i="5"/>
  <c r="N9" i="5"/>
  <c r="N47" i="5" s="1"/>
  <c r="M9" i="5"/>
  <c r="B9" i="5"/>
  <c r="N8" i="5"/>
  <c r="N46" i="5" s="1"/>
  <c r="M8" i="5"/>
  <c r="M46" i="5" s="1"/>
  <c r="L8" i="5"/>
  <c r="L151" i="5" s="1"/>
  <c r="B8" i="5"/>
  <c r="B46" i="5" s="1"/>
  <c r="O7" i="5"/>
  <c r="N7" i="5"/>
  <c r="M7" i="5"/>
  <c r="B7" i="5"/>
  <c r="O6" i="5"/>
  <c r="O63" i="5" s="1"/>
  <c r="N6" i="5"/>
  <c r="N44" i="5" s="1"/>
  <c r="M6" i="5"/>
  <c r="M149" i="5" s="1"/>
  <c r="B6" i="5"/>
  <c r="F169" i="5" s="1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B14" i="3"/>
  <c r="O16" i="3"/>
  <c r="N16" i="3"/>
  <c r="O15" i="3"/>
  <c r="N15" i="3"/>
  <c r="O6" i="4"/>
  <c r="O10" i="4"/>
  <c r="O7" i="4"/>
  <c r="N7" i="4"/>
  <c r="N6" i="4"/>
  <c r="B6" i="4"/>
  <c r="D6" i="4"/>
  <c r="C6" i="4"/>
  <c r="F6" i="4"/>
  <c r="E6" i="4"/>
  <c r="H6" i="4"/>
  <c r="G6" i="4"/>
  <c r="I6" i="4"/>
  <c r="I7" i="4"/>
  <c r="J6" i="4"/>
  <c r="M15" i="3"/>
  <c r="L15" i="3"/>
  <c r="M6" i="4"/>
  <c r="L7" i="4"/>
  <c r="L8" i="4" s="1"/>
  <c r="O48" i="5" l="1"/>
  <c r="O153" i="5"/>
  <c r="E12" i="5"/>
  <c r="I77" i="5"/>
  <c r="I40" i="5"/>
  <c r="F160" i="5"/>
  <c r="F79" i="5"/>
  <c r="F159" i="5"/>
  <c r="N71" i="5"/>
  <c r="M74" i="5"/>
  <c r="O88" i="5"/>
  <c r="I162" i="5"/>
  <c r="N166" i="5"/>
  <c r="L156" i="5"/>
  <c r="L11" i="5"/>
  <c r="L92" i="5"/>
  <c r="B92" i="5" s="1"/>
  <c r="O8" i="5"/>
  <c r="O46" i="5" s="1"/>
  <c r="L152" i="5"/>
  <c r="O12" i="5"/>
  <c r="O50" i="5" s="1"/>
  <c r="M72" i="5"/>
  <c r="N74" i="5"/>
  <c r="N165" i="5"/>
  <c r="B167" i="5"/>
  <c r="G18" i="5"/>
  <c r="G56" i="5" s="1"/>
  <c r="G49" i="5"/>
  <c r="M69" i="5"/>
  <c r="M70" i="5"/>
  <c r="N73" i="5"/>
  <c r="M76" i="5"/>
  <c r="M77" i="5"/>
  <c r="C50" i="5"/>
  <c r="N72" i="5"/>
  <c r="B127" i="5"/>
  <c r="M127" i="5"/>
  <c r="B149" i="5"/>
  <c r="N149" i="5"/>
  <c r="M156" i="5"/>
  <c r="F70" i="5"/>
  <c r="D159" i="5"/>
  <c r="D160" i="5"/>
  <c r="N14" i="5"/>
  <c r="N52" i="5" s="1"/>
  <c r="B14" i="5"/>
  <c r="B52" i="5" s="1"/>
  <c r="E41" i="5"/>
  <c r="G52" i="5"/>
  <c r="G12" i="5"/>
  <c r="G50" i="5" s="1"/>
  <c r="K18" i="5"/>
  <c r="K56" i="5" s="1"/>
  <c r="K50" i="5"/>
  <c r="B20" i="5"/>
  <c r="B58" i="5" s="1"/>
  <c r="N76" i="5"/>
  <c r="N39" i="5"/>
  <c r="N77" i="5" s="1"/>
  <c r="L46" i="5"/>
  <c r="I152" i="5"/>
  <c r="B153" i="5"/>
  <c r="B154" i="5"/>
  <c r="B151" i="5"/>
  <c r="K70" i="5"/>
  <c r="O32" i="5"/>
  <c r="O70" i="5" s="1"/>
  <c r="L77" i="5"/>
  <c r="L41" i="5"/>
  <c r="M154" i="5"/>
  <c r="M151" i="5"/>
  <c r="N170" i="5"/>
  <c r="N48" i="5"/>
  <c r="O69" i="5"/>
  <c r="G58" i="5"/>
  <c r="H77" i="5"/>
  <c r="M162" i="5"/>
  <c r="M163" i="5"/>
  <c r="B156" i="5"/>
  <c r="N61" i="5"/>
  <c r="O154" i="5"/>
  <c r="O64" i="5"/>
  <c r="O44" i="5"/>
  <c r="M55" i="5"/>
  <c r="M71" i="5"/>
  <c r="G40" i="5"/>
  <c r="G78" i="5" s="1"/>
  <c r="N45" i="5"/>
  <c r="N63" i="5"/>
  <c r="B88" i="5"/>
  <c r="N88" i="5"/>
  <c r="B133" i="5"/>
  <c r="B93" i="5"/>
  <c r="B152" i="5" s="1"/>
  <c r="M93" i="5"/>
  <c r="M152" i="5" s="1"/>
  <c r="M44" i="5"/>
  <c r="M18" i="5"/>
  <c r="M56" i="5" s="1"/>
  <c r="M170" i="5"/>
  <c r="M65" i="5"/>
  <c r="M59" i="5"/>
  <c r="N154" i="5"/>
  <c r="N153" i="5"/>
  <c r="N151" i="5"/>
  <c r="N69" i="5"/>
  <c r="J12" i="5"/>
  <c r="O14" i="5"/>
  <c r="O52" i="5" s="1"/>
  <c r="O76" i="5"/>
  <c r="K39" i="5"/>
  <c r="K74" i="5"/>
  <c r="N55" i="5"/>
  <c r="M62" i="5"/>
  <c r="H40" i="5"/>
  <c r="H78" i="5" s="1"/>
  <c r="O47" i="5"/>
  <c r="M48" i="5"/>
  <c r="M54" i="5"/>
  <c r="M153" i="5"/>
  <c r="O66" i="5"/>
  <c r="O170" i="5"/>
  <c r="O60" i="5"/>
  <c r="O72" i="5"/>
  <c r="O45" i="5"/>
  <c r="O149" i="5"/>
  <c r="M12" i="5"/>
  <c r="M50" i="5" s="1"/>
  <c r="O20" i="5"/>
  <c r="O58" i="5" s="1"/>
  <c r="O61" i="5"/>
  <c r="O36" i="5"/>
  <c r="O74" i="5" s="1"/>
  <c r="B36" i="5"/>
  <c r="B74" i="5" s="1"/>
  <c r="J39" i="5"/>
  <c r="M45" i="5"/>
  <c r="M47" i="5"/>
  <c r="B39" i="5"/>
  <c r="B77" i="5" s="1"/>
  <c r="B47" i="5"/>
  <c r="B32" i="5"/>
  <c r="B70" i="5" s="1"/>
  <c r="C160" i="5"/>
  <c r="M41" i="5"/>
  <c r="C56" i="5"/>
  <c r="M60" i="5"/>
  <c r="M66" i="5"/>
  <c r="M11" i="5"/>
  <c r="M49" i="5" s="1"/>
  <c r="M52" i="5"/>
  <c r="O55" i="5"/>
  <c r="N59" i="5"/>
  <c r="N62" i="5"/>
  <c r="N65" i="5"/>
  <c r="D78" i="5"/>
  <c r="N60" i="5"/>
  <c r="B66" i="5"/>
  <c r="N66" i="5"/>
  <c r="D70" i="5"/>
  <c r="N157" i="5"/>
  <c r="B94" i="5"/>
  <c r="M157" i="5"/>
  <c r="O51" i="5"/>
  <c r="O151" i="5"/>
  <c r="K169" i="5"/>
  <c r="O169" i="5" s="1"/>
  <c r="H12" i="5"/>
  <c r="D169" i="5"/>
  <c r="M169" i="5" s="1"/>
  <c r="B170" i="5"/>
  <c r="E152" i="5"/>
  <c r="E169" i="5"/>
  <c r="N169" i="5" s="1"/>
  <c r="L4" i="4"/>
  <c r="L9" i="4" s="1"/>
  <c r="L11" i="4" s="1"/>
  <c r="K22" i="3"/>
  <c r="H22" i="3"/>
  <c r="G15" i="3"/>
  <c r="F15" i="3"/>
  <c r="E160" i="5" l="1"/>
  <c r="E159" i="5"/>
  <c r="E79" i="5"/>
  <c r="K77" i="5"/>
  <c r="K40" i="5"/>
  <c r="K78" i="5" s="1"/>
  <c r="K41" i="5"/>
  <c r="I78" i="5"/>
  <c r="I41" i="5"/>
  <c r="G41" i="5"/>
  <c r="L49" i="5"/>
  <c r="L18" i="5"/>
  <c r="L56" i="5" s="1"/>
  <c r="O11" i="5"/>
  <c r="B11" i="5"/>
  <c r="B49" i="5" s="1"/>
  <c r="N40" i="5"/>
  <c r="N78" i="5" s="1"/>
  <c r="L159" i="5"/>
  <c r="L79" i="5"/>
  <c r="L160" i="5"/>
  <c r="H41" i="5"/>
  <c r="J77" i="5"/>
  <c r="J40" i="5"/>
  <c r="J78" i="5" s="1"/>
  <c r="J41" i="5"/>
  <c r="J50" i="5"/>
  <c r="J18" i="5"/>
  <c r="J56" i="5" s="1"/>
  <c r="O156" i="5"/>
  <c r="M159" i="5"/>
  <c r="M79" i="5"/>
  <c r="M160" i="5"/>
  <c r="N163" i="5"/>
  <c r="N162" i="5"/>
  <c r="O162" i="5"/>
  <c r="O163" i="5"/>
  <c r="H50" i="5"/>
  <c r="H18" i="5"/>
  <c r="H56" i="5" s="1"/>
  <c r="O39" i="5"/>
  <c r="O77" i="5" s="1"/>
  <c r="E50" i="5"/>
  <c r="N12" i="5"/>
  <c r="E18" i="5"/>
  <c r="B12" i="5"/>
  <c r="B50" i="5" s="1"/>
  <c r="B163" i="5"/>
  <c r="B162" i="5"/>
  <c r="O152" i="5"/>
  <c r="E3" i="4"/>
  <c r="D3" i="4"/>
  <c r="E22" i="3"/>
  <c r="J160" i="5" l="1"/>
  <c r="J159" i="5"/>
  <c r="J79" i="5"/>
  <c r="G159" i="5"/>
  <c r="G79" i="5"/>
  <c r="G160" i="5"/>
  <c r="O40" i="5"/>
  <c r="O78" i="5" s="1"/>
  <c r="H159" i="5"/>
  <c r="H79" i="5"/>
  <c r="H160" i="5"/>
  <c r="K160" i="5"/>
  <c r="K159" i="5"/>
  <c r="K79" i="5"/>
  <c r="I79" i="5"/>
  <c r="O41" i="5"/>
  <c r="I160" i="5"/>
  <c r="I159" i="5"/>
  <c r="B41" i="5"/>
  <c r="E56" i="5"/>
  <c r="B18" i="5"/>
  <c r="B56" i="5" s="1"/>
  <c r="N50" i="5"/>
  <c r="N18" i="5"/>
  <c r="N56" i="5" s="1"/>
  <c r="O49" i="5"/>
  <c r="O18" i="5"/>
  <c r="O56" i="5" s="1"/>
  <c r="N41" i="5"/>
  <c r="B40" i="5"/>
  <c r="B78" i="5" s="1"/>
  <c r="C3" i="4"/>
  <c r="B10" i="4"/>
  <c r="B3" i="4"/>
  <c r="B160" i="5" l="1"/>
  <c r="B79" i="5"/>
  <c r="B159" i="5"/>
  <c r="O160" i="5"/>
  <c r="O159" i="5"/>
  <c r="O79" i="5"/>
  <c r="N160" i="5"/>
  <c r="N79" i="5"/>
  <c r="N159" i="5"/>
  <c r="B8" i="4"/>
  <c r="M22" i="3"/>
  <c r="L22" i="3"/>
  <c r="J22" i="3"/>
  <c r="I22" i="3"/>
  <c r="G22" i="3"/>
  <c r="F22" i="3"/>
  <c r="D22" i="3"/>
  <c r="C22" i="3"/>
  <c r="B22" i="3"/>
  <c r="O8" i="4" l="1"/>
  <c r="O4" i="4"/>
  <c r="O9" i="4" l="1"/>
  <c r="O11" i="4" s="1"/>
  <c r="N8" i="4" l="1"/>
  <c r="M8" i="4"/>
  <c r="N4" i="4"/>
  <c r="N9" i="4" l="1"/>
  <c r="N11" i="4" s="1"/>
  <c r="M4" i="4"/>
  <c r="M9" i="4" l="1"/>
  <c r="M11" i="4" s="1"/>
  <c r="I4" i="4"/>
  <c r="H8" i="4"/>
  <c r="G8" i="4"/>
  <c r="H4" i="4"/>
  <c r="G4" i="4"/>
  <c r="F8" i="4"/>
  <c r="F4" i="4"/>
  <c r="E8" i="4"/>
  <c r="D4" i="4"/>
  <c r="C4" i="4"/>
  <c r="C8" i="4"/>
  <c r="B4" i="4"/>
  <c r="D8" i="4"/>
  <c r="E4" i="4"/>
  <c r="J4" i="4"/>
  <c r="K8" i="4"/>
  <c r="K4" i="4"/>
  <c r="C9" i="4" l="1"/>
  <c r="C11" i="4" s="1"/>
  <c r="B9" i="4"/>
  <c r="B11" i="4" s="1"/>
  <c r="D9" i="4"/>
  <c r="D11" i="4" s="1"/>
  <c r="E9" i="4"/>
  <c r="E11" i="4" s="1"/>
  <c r="F9" i="4"/>
  <c r="F11" i="4" s="1"/>
  <c r="G9" i="4"/>
  <c r="G11" i="4" s="1"/>
  <c r="H9" i="4"/>
  <c r="H11" i="4" s="1"/>
  <c r="K9" i="4"/>
  <c r="K11" i="4" s="1"/>
  <c r="I8" i="4"/>
  <c r="I9" i="4" s="1"/>
  <c r="I11" i="4" s="1"/>
  <c r="J8" i="4"/>
  <c r="J9" i="4" l="1"/>
  <c r="J11" i="4" s="1"/>
</calcChain>
</file>

<file path=xl/sharedStrings.xml><?xml version="1.0" encoding="utf-8"?>
<sst xmlns="http://schemas.openxmlformats.org/spreadsheetml/2006/main" count="215" uniqueCount="161">
  <si>
    <t>Income</t>
  </si>
  <si>
    <t xml:space="preserve">Deposits </t>
  </si>
  <si>
    <t>Borrowings</t>
  </si>
  <si>
    <t xml:space="preserve">Interest Payable </t>
  </si>
  <si>
    <t>Fixed Assets</t>
  </si>
  <si>
    <t>ITEMS</t>
  </si>
  <si>
    <t>Total Income</t>
  </si>
  <si>
    <t>Bills Purchased &amp; Discounted</t>
  </si>
  <si>
    <t>Interest Receivable</t>
  </si>
  <si>
    <t>Other Assets</t>
  </si>
  <si>
    <t>Balances with other Banks as FDR</t>
  </si>
  <si>
    <t>Total Assets</t>
  </si>
  <si>
    <t>Balances with other Banks</t>
  </si>
  <si>
    <t>Profit before tax</t>
  </si>
  <si>
    <t>Reserve Fund</t>
  </si>
  <si>
    <t>Other Reserve</t>
  </si>
  <si>
    <t>Securities bought under repo</t>
  </si>
  <si>
    <t>Loans &amp; Advances (Amortised cost)</t>
  </si>
  <si>
    <t>Investments (Amortised cost)</t>
  </si>
  <si>
    <t>Investment in properties</t>
  </si>
  <si>
    <t>Current Tax Liabilities</t>
  </si>
  <si>
    <t>Bank Data (end-2019)</t>
  </si>
  <si>
    <t>Bank</t>
  </si>
  <si>
    <t>All Banks</t>
  </si>
  <si>
    <t>Bank 1</t>
  </si>
  <si>
    <t>Bank 2</t>
  </si>
  <si>
    <t>Bank 3</t>
  </si>
  <si>
    <t>Bank 4</t>
  </si>
  <si>
    <t>Bank 5</t>
  </si>
  <si>
    <t>Bank 6</t>
  </si>
  <si>
    <t>Bank 7</t>
  </si>
  <si>
    <t>Bank 8</t>
  </si>
  <si>
    <t>Bank 9</t>
  </si>
  <si>
    <t>Bank 10</t>
  </si>
  <si>
    <t>Large Banks</t>
  </si>
  <si>
    <t>Medium Banks</t>
  </si>
  <si>
    <t>Small Banks</t>
  </si>
  <si>
    <t>Rank (by total assets)</t>
  </si>
  <si>
    <t>(1,2)</t>
  </si>
  <si>
    <t>(3-5)</t>
  </si>
  <si>
    <t>(6-10)</t>
  </si>
  <si>
    <t>Table A1. Financial Statements</t>
  </si>
  <si>
    <t xml:space="preserve"> Balance Sheet Data (millions of LCU)</t>
  </si>
  <si>
    <t>Total assets</t>
  </si>
  <si>
    <t>Cash and liquid assets</t>
  </si>
  <si>
    <t>Gross loans</t>
  </si>
  <si>
    <t xml:space="preserve"> of which non performing (90+)</t>
  </si>
  <si>
    <t>Provisions</t>
  </si>
  <si>
    <t>Net Loans</t>
  </si>
  <si>
    <t>Securities Porfolio</t>
  </si>
  <si>
    <t>Equities</t>
  </si>
  <si>
    <t>Bonds</t>
  </si>
  <si>
    <t>Public bonds</t>
  </si>
  <si>
    <t>Corporate bonds</t>
  </si>
  <si>
    <t>Derivatives</t>
  </si>
  <si>
    <t>Other assets</t>
  </si>
  <si>
    <t>Total liabilities</t>
  </si>
  <si>
    <t>Demand deposits</t>
  </si>
  <si>
    <t>Term deposits</t>
  </si>
  <si>
    <t>Other liabilities</t>
  </si>
  <si>
    <t>Interbank deposits</t>
  </si>
  <si>
    <t>Repo</t>
  </si>
  <si>
    <t>Subordinated debt</t>
  </si>
  <si>
    <t>Total capital (equity)</t>
  </si>
  <si>
    <t>Income Statement Data  (millions of LCU)</t>
  </si>
  <si>
    <t>Operating Income (+)</t>
  </si>
  <si>
    <t>o/w Net Interest Income</t>
  </si>
  <si>
    <t>Interest Income (+)</t>
  </si>
  <si>
    <t>Interest Expense (-)</t>
  </si>
  <si>
    <t>Operating Expenses (-)</t>
  </si>
  <si>
    <t>Provisions for Loan Losses (-)</t>
  </si>
  <si>
    <t>Other Provisions (-)</t>
  </si>
  <si>
    <t>Other Income (Net)</t>
  </si>
  <si>
    <t>Pre-Tax Profit</t>
  </si>
  <si>
    <t>Taxes</t>
  </si>
  <si>
    <t>Net Profits (after tax)</t>
  </si>
  <si>
    <t xml:space="preserve">Table A2. Normalized Data </t>
  </si>
  <si>
    <t xml:space="preserve"> Balance Sheet Data (in percent of total assets)</t>
  </si>
  <si>
    <t>Table A3. Complementary Information</t>
  </si>
  <si>
    <t>Capital adequacy</t>
  </si>
  <si>
    <t>Risk-weighted assets</t>
  </si>
  <si>
    <t>Regulatory capital</t>
  </si>
  <si>
    <t>Core Capital</t>
  </si>
  <si>
    <t>Liquidity</t>
  </si>
  <si>
    <t>Cash and Liquid assets</t>
  </si>
  <si>
    <t>Deposits and short-term funding</t>
  </si>
  <si>
    <t xml:space="preserve"> </t>
  </si>
  <si>
    <t>Credit</t>
  </si>
  <si>
    <t>Total loans</t>
  </si>
  <si>
    <t>Loan loss provisions</t>
  </si>
  <si>
    <t>Non-performing loans</t>
  </si>
  <si>
    <t>Gross Loans (million LCU)</t>
  </si>
  <si>
    <t>Large corporate 1</t>
  </si>
  <si>
    <t>Large corporate 2</t>
  </si>
  <si>
    <t>Large corporate 3</t>
  </si>
  <si>
    <t>Large corporate 4</t>
  </si>
  <si>
    <t>Large corporate 5</t>
  </si>
  <si>
    <t>SMEs</t>
  </si>
  <si>
    <t>Commercial Mortgages</t>
  </si>
  <si>
    <t>Housing Mortgages</t>
  </si>
  <si>
    <t>Consumer</t>
  </si>
  <si>
    <t>Public Sector</t>
  </si>
  <si>
    <t>Loans (Number)</t>
  </si>
  <si>
    <t>Duration</t>
  </si>
  <si>
    <t>Marked-to-market assets (million LCU)</t>
  </si>
  <si>
    <t>Duration of MTM assets (years)</t>
  </si>
  <si>
    <t>Marked-to-market (MTM)  liabilities  (million LCU)</t>
  </si>
  <si>
    <t>Duration of MTM liabilities (years)</t>
  </si>
  <si>
    <t>Time to reprice</t>
  </si>
  <si>
    <t>&lt; 3 months</t>
  </si>
  <si>
    <t>3-12 months</t>
  </si>
  <si>
    <t>over 1 year</t>
  </si>
  <si>
    <t>non interest bearing</t>
  </si>
  <si>
    <t>Exchange rate risk</t>
  </si>
  <si>
    <t>Net open FX position</t>
  </si>
  <si>
    <t>FX loans</t>
  </si>
  <si>
    <t>Net position in Equities</t>
  </si>
  <si>
    <t>Table A4. Selected Ratios (in percent)</t>
  </si>
  <si>
    <t>Capital adequacy ratio (CAR)</t>
  </si>
  <si>
    <t>Tier 1 Capital Ratio</t>
  </si>
  <si>
    <t>Leverage ratio</t>
  </si>
  <si>
    <t>Asset Quality (in percent)</t>
  </si>
  <si>
    <t>NPL ratio</t>
  </si>
  <si>
    <t>Loan loss provisions/total loans</t>
  </si>
  <si>
    <t>Loan loss provisions/non-performing loans</t>
  </si>
  <si>
    <t>NPL net of provisions to regulatory capital</t>
  </si>
  <si>
    <t>Large exposures to capital</t>
  </si>
  <si>
    <t>FX loans/total loans</t>
  </si>
  <si>
    <t>RWA/total assets</t>
  </si>
  <si>
    <t>Profitability (in percent)</t>
  </si>
  <si>
    <t xml:space="preserve">ROA (after-tax) </t>
  </si>
  <si>
    <t xml:space="preserve">ROE (after-tax) </t>
  </si>
  <si>
    <t>Liquidity (in percent)</t>
  </si>
  <si>
    <t>Liquid Assets/ Total Asses</t>
  </si>
  <si>
    <t>Liquid assets/deposits and short term funding</t>
  </si>
  <si>
    <t>Sensitivity to Market Risks (in percent unless indicated)</t>
  </si>
  <si>
    <t>Repricing gap &lt; 1 year to capital</t>
  </si>
  <si>
    <t>Net FX position to capital</t>
  </si>
  <si>
    <t>Net position in equities to capital</t>
  </si>
  <si>
    <t>General</t>
  </si>
  <si>
    <t>Share in total assets</t>
  </si>
  <si>
    <t>Total assets/GDP</t>
  </si>
  <si>
    <t>Nominal GDP (million LCU)</t>
  </si>
  <si>
    <t>Borrowings- Interbank</t>
  </si>
  <si>
    <t>Borrowings- Repo</t>
  </si>
  <si>
    <t>Other Liabilities - Derivatives, Sub Debt etc.</t>
  </si>
  <si>
    <t>Interest Income</t>
  </si>
  <si>
    <t>Other Income</t>
  </si>
  <si>
    <t>Provision (Loans &amp; contingencies)</t>
  </si>
  <si>
    <t>Operating Exp</t>
  </si>
  <si>
    <t>Interest Exp</t>
  </si>
  <si>
    <t>Other Operating Exp</t>
  </si>
  <si>
    <t>Total operating Exp</t>
  </si>
  <si>
    <t>Profit before provisions &amp; tax</t>
  </si>
  <si>
    <t>Profit (Loss)</t>
  </si>
  <si>
    <t>Capital</t>
  </si>
  <si>
    <t>Deposits- Demand</t>
  </si>
  <si>
    <t>Deposits- Term</t>
  </si>
  <si>
    <t>Cash + Balance with CB</t>
  </si>
  <si>
    <t>Investments (non-Amortised cost)</t>
  </si>
  <si>
    <t>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</si>
</sst>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 * #,##0.00_ ;_ * \-#,##0.00_ ;_ * &quot;-&quot;??_ ;_ @_ "/>
    <numFmt numFmtId="165" formatCode="#,##0.000"/>
    <numFmt numFmtId="166" formatCode="0.000"/>
    <numFmt numFmtId="167" formatCode="0.0"/>
    <numFmt numFmtId="168" formatCode="_(* #,##0_);_(* \(#,##0\);_(* &quot;-&quot;??_);_(@_)"/>
    <numFmt numFmtId="169" formatCode="_-* #,##0.00_-;\-* #,##0.00_-;_-* &quot;-&quot;??_-;_-@_-"/>
    <numFmt numFmtId="170" formatCode="_-* #,##0_-;\-* #,##0_-;_-* &quot;-&quot;??_-;_-@_-"/>
    <numFmt numFmtId="171" formatCode="0.0%"/>
    <numFmt numFmtId="172" formatCode="#,##0.0"/>
    <numFmt numFmtId="173" formatCode="0_);\(0\)"/>
  </numFmts>
  <fonts count="2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3" tint="0.3999755851924192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16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2" fillId="0" borderId="0"/>
    <xf numFmtId="9" fontId="2" fillId="0" borderId="0" applyFont="0" applyFill="0" applyBorder="0" applyAlignment="0" applyProtection="0"/>
  </cellStyleXfs>
  <cellXfs count="2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4" fillId="0" borderId="1" xfId="0" applyFont="1" applyBorder="1"/>
    <xf numFmtId="0" fontId="3" fillId="2" borderId="0" xfId="0" applyFont="1" applyFill="1"/>
    <xf numFmtId="0" fontId="4" fillId="2" borderId="1" xfId="0" applyFont="1" applyFill="1" applyBorder="1"/>
    <xf numFmtId="0" fontId="5" fillId="0" borderId="1" xfId="0" applyFont="1" applyBorder="1" applyAlignment="1">
      <alignment horizontal="center" vertical="center"/>
    </xf>
    <xf numFmtId="164" fontId="3" fillId="0" borderId="0" xfId="3" applyFont="1" applyFill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3" borderId="1" xfId="0" applyFont="1" applyFill="1" applyBorder="1"/>
    <xf numFmtId="0" fontId="3" fillId="3" borderId="0" xfId="0" applyFont="1" applyFill="1"/>
    <xf numFmtId="4" fontId="3" fillId="0" borderId="1" xfId="0" applyNumberFormat="1" applyFont="1" applyBorder="1"/>
    <xf numFmtId="4" fontId="3" fillId="3" borderId="1" xfId="0" applyNumberFormat="1" applyFont="1" applyFill="1" applyBorder="1" applyAlignment="1">
      <alignment horizontal="right"/>
    </xf>
    <xf numFmtId="4" fontId="3" fillId="0" borderId="0" xfId="0" applyNumberFormat="1" applyFont="1"/>
    <xf numFmtId="4" fontId="3" fillId="2" borderId="1" xfId="0" applyNumberFormat="1" applyFont="1" applyFill="1" applyBorder="1" applyAlignment="1">
      <alignment horizontal="right"/>
    </xf>
    <xf numFmtId="164" fontId="3" fillId="0" borderId="0" xfId="3" applyFont="1"/>
    <xf numFmtId="4" fontId="3" fillId="0" borderId="0" xfId="0" applyNumberFormat="1" applyFont="1" applyAlignment="1">
      <alignment horizontal="center"/>
    </xf>
    <xf numFmtId="165" fontId="3" fillId="0" borderId="0" xfId="0" applyNumberFormat="1" applyFont="1"/>
    <xf numFmtId="166" fontId="3" fillId="0" borderId="0" xfId="0" applyNumberFormat="1" applyFont="1"/>
    <xf numFmtId="0" fontId="4" fillId="3" borderId="3" xfId="0" applyFont="1" applyFill="1" applyBorder="1"/>
    <xf numFmtId="0" fontId="4" fillId="0" borderId="0" xfId="0" applyFont="1"/>
    <xf numFmtId="4" fontId="3" fillId="0" borderId="1" xfId="0" applyNumberFormat="1" applyFont="1" applyBorder="1" applyAlignment="1">
      <alignment horizontal="right"/>
    </xf>
    <xf numFmtId="0" fontId="8" fillId="0" borderId="0" xfId="4" applyFont="1"/>
    <xf numFmtId="167" fontId="9" fillId="0" borderId="0" xfId="4" applyNumberFormat="1" applyFont="1"/>
    <xf numFmtId="0" fontId="9" fillId="0" borderId="0" xfId="4" applyFont="1"/>
    <xf numFmtId="0" fontId="10" fillId="4" borderId="4" xfId="4" applyFont="1" applyFill="1" applyBorder="1"/>
    <xf numFmtId="0" fontId="11" fillId="4" borderId="5" xfId="4" applyFont="1" applyFill="1" applyBorder="1" applyAlignment="1">
      <alignment horizontal="center"/>
    </xf>
    <xf numFmtId="0" fontId="10" fillId="4" borderId="6" xfId="5" applyFont="1" applyFill="1" applyBorder="1" applyAlignment="1">
      <alignment horizontal="center" wrapText="1"/>
    </xf>
    <xf numFmtId="0" fontId="10" fillId="4" borderId="4" xfId="4" applyFont="1" applyFill="1" applyBorder="1" applyAlignment="1">
      <alignment horizontal="center" vertical="center" wrapText="1"/>
    </xf>
    <xf numFmtId="0" fontId="10" fillId="4" borderId="6" xfId="4" applyFont="1" applyFill="1" applyBorder="1" applyAlignment="1">
      <alignment horizontal="center" vertical="center" wrapText="1"/>
    </xf>
    <xf numFmtId="0" fontId="10" fillId="4" borderId="7" xfId="4" applyFont="1" applyFill="1" applyBorder="1" applyAlignment="1">
      <alignment horizontal="center" vertical="center" wrapText="1"/>
    </xf>
    <xf numFmtId="0" fontId="10" fillId="4" borderId="8" xfId="4" applyFont="1" applyFill="1" applyBorder="1"/>
    <xf numFmtId="0" fontId="10" fillId="4" borderId="9" xfId="4" applyFont="1" applyFill="1" applyBorder="1"/>
    <xf numFmtId="0" fontId="10" fillId="4" borderId="10" xfId="4" applyFont="1" applyFill="1" applyBorder="1" applyAlignment="1">
      <alignment horizontal="center"/>
    </xf>
    <xf numFmtId="0" fontId="10" fillId="4" borderId="8" xfId="4" applyFont="1" applyFill="1" applyBorder="1" applyAlignment="1">
      <alignment horizontal="center"/>
    </xf>
    <xf numFmtId="0" fontId="10" fillId="4" borderId="11" xfId="4" applyFont="1" applyFill="1" applyBorder="1" applyAlignment="1">
      <alignment horizontal="center"/>
    </xf>
    <xf numFmtId="0" fontId="11" fillId="5" borderId="4" xfId="4" applyFont="1" applyFill="1" applyBorder="1"/>
    <xf numFmtId="0" fontId="13" fillId="5" borderId="5" xfId="4" applyFont="1" applyFill="1" applyBorder="1"/>
    <xf numFmtId="3" fontId="13" fillId="5" borderId="6" xfId="4" applyNumberFormat="1" applyFont="1" applyFill="1" applyBorder="1" applyAlignment="1">
      <alignment horizontal="center"/>
    </xf>
    <xf numFmtId="0" fontId="13" fillId="5" borderId="6" xfId="4" applyFont="1" applyFill="1" applyBorder="1" applyAlignment="1">
      <alignment horizontal="center"/>
    </xf>
    <xf numFmtId="0" fontId="13" fillId="5" borderId="4" xfId="4" applyFont="1" applyFill="1" applyBorder="1" applyAlignment="1">
      <alignment horizontal="center"/>
    </xf>
    <xf numFmtId="0" fontId="13" fillId="5" borderId="7" xfId="4" applyFont="1" applyFill="1" applyBorder="1" applyAlignment="1">
      <alignment horizontal="center"/>
    </xf>
    <xf numFmtId="0" fontId="11" fillId="5" borderId="8" xfId="4" applyFont="1" applyFill="1" applyBorder="1" applyAlignment="1" applyProtection="1">
      <alignment wrapText="1"/>
      <protection locked="0"/>
    </xf>
    <xf numFmtId="43" fontId="14" fillId="5" borderId="9" xfId="4" applyNumberFormat="1" applyFont="1" applyFill="1" applyBorder="1" applyAlignment="1" applyProtection="1">
      <alignment wrapText="1"/>
      <protection locked="0"/>
    </xf>
    <xf numFmtId="168" fontId="13" fillId="5" borderId="10" xfId="1" applyNumberFormat="1" applyFont="1" applyFill="1" applyBorder="1"/>
    <xf numFmtId="0" fontId="13" fillId="5" borderId="8" xfId="4" applyFont="1" applyFill="1" applyBorder="1"/>
    <xf numFmtId="0" fontId="13" fillId="5" borderId="10" xfId="4" applyFont="1" applyFill="1" applyBorder="1"/>
    <xf numFmtId="0" fontId="13" fillId="5" borderId="11" xfId="4" applyFont="1" applyFill="1" applyBorder="1"/>
    <xf numFmtId="0" fontId="15" fillId="6" borderId="12" xfId="4" applyFont="1" applyFill="1" applyBorder="1" applyAlignment="1" applyProtection="1">
      <alignment horizontal="left" vertical="center" wrapText="1"/>
      <protection locked="0"/>
    </xf>
    <xf numFmtId="3" fontId="9" fillId="6" borderId="13" xfId="4" applyNumberFormat="1" applyFont="1" applyFill="1" applyBorder="1" applyAlignment="1" applyProtection="1">
      <alignment vertical="center" wrapText="1"/>
      <protection locked="0"/>
    </xf>
    <xf numFmtId="3" fontId="9" fillId="6" borderId="0" xfId="5" applyNumberFormat="1" applyFont="1" applyFill="1" applyAlignment="1">
      <alignment horizontal="right" vertical="center"/>
    </xf>
    <xf numFmtId="3" fontId="9" fillId="6" borderId="12" xfId="4" applyNumberFormat="1" applyFont="1" applyFill="1" applyBorder="1"/>
    <xf numFmtId="3" fontId="9" fillId="6" borderId="0" xfId="4" applyNumberFormat="1" applyFont="1" applyFill="1"/>
    <xf numFmtId="3" fontId="9" fillId="6" borderId="14" xfId="4" applyNumberFormat="1" applyFont="1" applyFill="1" applyBorder="1"/>
    <xf numFmtId="0" fontId="9" fillId="6" borderId="12" xfId="4" applyFont="1" applyFill="1" applyBorder="1" applyAlignment="1" applyProtection="1">
      <alignment horizontal="left" vertical="center" wrapText="1" indent="1"/>
      <protection locked="0"/>
    </xf>
    <xf numFmtId="0" fontId="9" fillId="6" borderId="12" xfId="4" applyFont="1" applyFill="1" applyBorder="1" applyAlignment="1" applyProtection="1">
      <alignment horizontal="left" vertical="center" wrapText="1" indent="2"/>
      <protection locked="0"/>
    </xf>
    <xf numFmtId="170" fontId="9" fillId="6" borderId="0" xfId="6" applyNumberFormat="1" applyFont="1" applyFill="1" applyBorder="1" applyAlignment="1">
      <alignment horizontal="right" vertical="center"/>
    </xf>
    <xf numFmtId="3" fontId="9" fillId="6" borderId="0" xfId="4" quotePrefix="1" applyNumberFormat="1" applyFont="1" applyFill="1"/>
    <xf numFmtId="1" fontId="9" fillId="6" borderId="0" xfId="4" applyNumberFormat="1" applyFont="1" applyFill="1"/>
    <xf numFmtId="168" fontId="9" fillId="6" borderId="0" xfId="1" applyNumberFormat="1" applyFont="1" applyFill="1" applyBorder="1"/>
    <xf numFmtId="0" fontId="9" fillId="6" borderId="12" xfId="4" applyFont="1" applyFill="1" applyBorder="1" applyAlignment="1" applyProtection="1">
      <alignment horizontal="left" vertical="center" wrapText="1" indent="4"/>
      <protection locked="0"/>
    </xf>
    <xf numFmtId="0" fontId="9" fillId="6" borderId="12" xfId="4" applyFont="1" applyFill="1" applyBorder="1" applyAlignment="1">
      <alignment horizontal="left" indent="1"/>
    </xf>
    <xf numFmtId="0" fontId="9" fillId="6" borderId="13" xfId="4" applyFont="1" applyFill="1" applyBorder="1" applyAlignment="1" applyProtection="1">
      <alignment horizontal="left" vertical="center" wrapText="1" indent="1"/>
      <protection locked="0"/>
    </xf>
    <xf numFmtId="171" fontId="16" fillId="6" borderId="0" xfId="7" applyNumberFormat="1" applyFont="1" applyFill="1" applyBorder="1"/>
    <xf numFmtId="3" fontId="9" fillId="6" borderId="0" xfId="8" applyNumberFormat="1" applyFont="1" applyFill="1" applyAlignment="1">
      <alignment horizontal="right" vertical="center"/>
    </xf>
    <xf numFmtId="0" fontId="9" fillId="6" borderId="12" xfId="4" applyFont="1" applyFill="1" applyBorder="1" applyAlignment="1" applyProtection="1">
      <alignment horizontal="left" vertical="center" indent="2"/>
      <protection locked="0"/>
    </xf>
    <xf numFmtId="3" fontId="9" fillId="6" borderId="0" xfId="8" quotePrefix="1" applyNumberFormat="1" applyFont="1" applyFill="1" applyAlignment="1">
      <alignment horizontal="right" vertical="center"/>
    </xf>
    <xf numFmtId="0" fontId="15" fillId="0" borderId="0" xfId="4" applyFont="1"/>
    <xf numFmtId="0" fontId="15" fillId="6" borderId="12" xfId="4" applyFont="1" applyFill="1" applyBorder="1" applyAlignment="1" applyProtection="1">
      <alignment wrapText="1"/>
      <protection locked="0"/>
    </xf>
    <xf numFmtId="0" fontId="15" fillId="6" borderId="13" xfId="4" applyFont="1" applyFill="1" applyBorder="1" applyAlignment="1" applyProtection="1">
      <alignment wrapText="1"/>
      <protection locked="0"/>
    </xf>
    <xf numFmtId="0" fontId="9" fillId="6" borderId="12" xfId="4" applyFont="1" applyFill="1" applyBorder="1"/>
    <xf numFmtId="0" fontId="9" fillId="6" borderId="0" xfId="4" applyFont="1" applyFill="1"/>
    <xf numFmtId="0" fontId="9" fillId="6" borderId="14" xfId="4" applyFont="1" applyFill="1" applyBorder="1"/>
    <xf numFmtId="0" fontId="9" fillId="6" borderId="12" xfId="4" applyFont="1" applyFill="1" applyBorder="1" applyAlignment="1">
      <alignment horizontal="left"/>
    </xf>
    <xf numFmtId="0" fontId="9" fillId="6" borderId="12" xfId="4" applyFont="1" applyFill="1" applyBorder="1" applyAlignment="1">
      <alignment horizontal="left" indent="2"/>
    </xf>
    <xf numFmtId="3" fontId="9" fillId="6" borderId="0" xfId="4" quotePrefix="1" applyNumberFormat="1" applyFont="1" applyFill="1" applyAlignment="1">
      <alignment horizontal="right"/>
    </xf>
    <xf numFmtId="3" fontId="9" fillId="6" borderId="0" xfId="4" applyNumberFormat="1" applyFont="1" applyFill="1" applyAlignment="1">
      <alignment horizontal="right"/>
    </xf>
    <xf numFmtId="3" fontId="9" fillId="6" borderId="12" xfId="4" applyNumberFormat="1" applyFont="1" applyFill="1" applyBorder="1" applyAlignment="1">
      <alignment horizontal="right"/>
    </xf>
    <xf numFmtId="0" fontId="11" fillId="7" borderId="4" xfId="4" applyFont="1" applyFill="1" applyBorder="1"/>
    <xf numFmtId="0" fontId="13" fillId="7" borderId="5" xfId="4" applyFont="1" applyFill="1" applyBorder="1"/>
    <xf numFmtId="3" fontId="13" fillId="7" borderId="6" xfId="4" applyNumberFormat="1" applyFont="1" applyFill="1" applyBorder="1" applyAlignment="1">
      <alignment horizontal="center"/>
    </xf>
    <xf numFmtId="0" fontId="13" fillId="7" borderId="6" xfId="4" applyFont="1" applyFill="1" applyBorder="1" applyAlignment="1">
      <alignment horizontal="center"/>
    </xf>
    <xf numFmtId="0" fontId="13" fillId="7" borderId="4" xfId="4" applyFont="1" applyFill="1" applyBorder="1" applyAlignment="1">
      <alignment horizontal="center"/>
    </xf>
    <xf numFmtId="0" fontId="13" fillId="7" borderId="7" xfId="4" applyFont="1" applyFill="1" applyBorder="1" applyAlignment="1">
      <alignment horizontal="center"/>
    </xf>
    <xf numFmtId="0" fontId="11" fillId="7" borderId="8" xfId="4" applyFont="1" applyFill="1" applyBorder="1" applyAlignment="1" applyProtection="1">
      <alignment wrapText="1"/>
      <protection locked="0"/>
    </xf>
    <xf numFmtId="43" fontId="14" fillId="7" borderId="9" xfId="4" applyNumberFormat="1" applyFont="1" applyFill="1" applyBorder="1" applyAlignment="1" applyProtection="1">
      <alignment wrapText="1"/>
      <protection locked="0"/>
    </xf>
    <xf numFmtId="168" fontId="13" fillId="7" borderId="10" xfId="1" applyNumberFormat="1" applyFont="1" applyFill="1" applyBorder="1"/>
    <xf numFmtId="0" fontId="13" fillId="7" borderId="8" xfId="4" applyFont="1" applyFill="1" applyBorder="1"/>
    <xf numFmtId="0" fontId="13" fillId="7" borderId="10" xfId="4" applyFont="1" applyFill="1" applyBorder="1"/>
    <xf numFmtId="0" fontId="13" fillId="7" borderId="11" xfId="4" applyFont="1" applyFill="1" applyBorder="1"/>
    <xf numFmtId="0" fontId="15" fillId="8" borderId="12" xfId="4" applyFont="1" applyFill="1" applyBorder="1" applyAlignment="1" applyProtection="1">
      <alignment horizontal="left" vertical="center" wrapText="1"/>
      <protection locked="0"/>
    </xf>
    <xf numFmtId="172" fontId="9" fillId="8" borderId="13" xfId="4" applyNumberFormat="1" applyFont="1" applyFill="1" applyBorder="1" applyAlignment="1" applyProtection="1">
      <alignment vertical="center" wrapText="1"/>
      <protection locked="0"/>
    </xf>
    <xf numFmtId="172" fontId="9" fillId="8" borderId="0" xfId="5" applyNumberFormat="1" applyFont="1" applyFill="1" applyAlignment="1">
      <alignment horizontal="right" vertical="center"/>
    </xf>
    <xf numFmtId="172" fontId="9" fillId="8" borderId="12" xfId="4" applyNumberFormat="1" applyFont="1" applyFill="1" applyBorder="1"/>
    <xf numFmtId="172" fontId="9" fillId="8" borderId="0" xfId="4" applyNumberFormat="1" applyFont="1" applyFill="1"/>
    <xf numFmtId="172" fontId="9" fillId="8" borderId="14" xfId="4" applyNumberFormat="1" applyFont="1" applyFill="1" applyBorder="1"/>
    <xf numFmtId="0" fontId="9" fillId="8" borderId="12" xfId="4" applyFont="1" applyFill="1" applyBorder="1" applyAlignment="1" applyProtection="1">
      <alignment horizontal="left" vertical="center" wrapText="1" indent="1"/>
      <protection locked="0"/>
    </xf>
    <xf numFmtId="172" fontId="9" fillId="9" borderId="0" xfId="5" applyNumberFormat="1" applyFont="1" applyFill="1" applyAlignment="1">
      <alignment horizontal="right" vertical="center"/>
    </xf>
    <xf numFmtId="0" fontId="9" fillId="8" borderId="12" xfId="4" applyFont="1" applyFill="1" applyBorder="1" applyAlignment="1" applyProtection="1">
      <alignment horizontal="left" vertical="center" wrapText="1" indent="2"/>
      <protection locked="0"/>
    </xf>
    <xf numFmtId="172" fontId="9" fillId="8" borderId="0" xfId="6" applyNumberFormat="1" applyFont="1" applyFill="1" applyBorder="1" applyAlignment="1">
      <alignment horizontal="right" vertical="center"/>
    </xf>
    <xf numFmtId="172" fontId="9" fillId="8" borderId="0" xfId="4" quotePrefix="1" applyNumberFormat="1" applyFont="1" applyFill="1"/>
    <xf numFmtId="172" fontId="9" fillId="8" borderId="0" xfId="1" applyNumberFormat="1" applyFont="1" applyFill="1" applyBorder="1"/>
    <xf numFmtId="0" fontId="9" fillId="8" borderId="12" xfId="4" applyFont="1" applyFill="1" applyBorder="1" applyAlignment="1" applyProtection="1">
      <alignment horizontal="left" vertical="center" wrapText="1" indent="4"/>
      <protection locked="0"/>
    </xf>
    <xf numFmtId="0" fontId="9" fillId="8" borderId="12" xfId="4" applyFont="1" applyFill="1" applyBorder="1" applyAlignment="1">
      <alignment horizontal="left" indent="1"/>
    </xf>
    <xf numFmtId="172" fontId="9" fillId="8" borderId="13" xfId="4" applyNumberFormat="1" applyFont="1" applyFill="1" applyBorder="1" applyAlignment="1" applyProtection="1">
      <alignment horizontal="left" vertical="center" wrapText="1" indent="1"/>
      <protection locked="0"/>
    </xf>
    <xf numFmtId="172" fontId="16" fillId="8" borderId="0" xfId="7" applyNumberFormat="1" applyFont="1" applyFill="1" applyBorder="1"/>
    <xf numFmtId="172" fontId="9" fillId="8" borderId="0" xfId="8" applyNumberFormat="1" applyFont="1" applyFill="1" applyAlignment="1">
      <alignment horizontal="right" vertical="center"/>
    </xf>
    <xf numFmtId="172" fontId="9" fillId="9" borderId="0" xfId="8" applyNumberFormat="1" applyFont="1" applyFill="1" applyAlignment="1">
      <alignment horizontal="right" vertical="center"/>
    </xf>
    <xf numFmtId="0" fontId="9" fillId="8" borderId="12" xfId="4" applyFont="1" applyFill="1" applyBorder="1" applyAlignment="1" applyProtection="1">
      <alignment horizontal="left" vertical="center" indent="2"/>
      <protection locked="0"/>
    </xf>
    <xf numFmtId="172" fontId="9" fillId="9" borderId="0" xfId="4" applyNumberFormat="1" applyFont="1" applyFill="1"/>
    <xf numFmtId="172" fontId="9" fillId="8" borderId="0" xfId="8" quotePrefix="1" applyNumberFormat="1" applyFont="1" applyFill="1" applyAlignment="1">
      <alignment horizontal="right" vertical="center"/>
    </xf>
    <xf numFmtId="0" fontId="15" fillId="8" borderId="12" xfId="4" applyFont="1" applyFill="1" applyBorder="1" applyAlignment="1" applyProtection="1">
      <alignment wrapText="1"/>
      <protection locked="0"/>
    </xf>
    <xf numFmtId="172" fontId="15" fillId="8" borderId="13" xfId="4" applyNumberFormat="1" applyFont="1" applyFill="1" applyBorder="1" applyAlignment="1" applyProtection="1">
      <alignment wrapText="1"/>
      <protection locked="0"/>
    </xf>
    <xf numFmtId="0" fontId="9" fillId="8" borderId="12" xfId="4" applyFont="1" applyFill="1" applyBorder="1" applyAlignment="1">
      <alignment horizontal="left"/>
    </xf>
    <xf numFmtId="0" fontId="9" fillId="8" borderId="12" xfId="4" applyFont="1" applyFill="1" applyBorder="1" applyAlignment="1">
      <alignment horizontal="left" indent="2"/>
    </xf>
    <xf numFmtId="172" fontId="9" fillId="8" borderId="0" xfId="4" quotePrefix="1" applyNumberFormat="1" applyFont="1" applyFill="1" applyAlignment="1">
      <alignment horizontal="right"/>
    </xf>
    <xf numFmtId="172" fontId="9" fillId="8" borderId="0" xfId="4" applyNumberFormat="1" applyFont="1" applyFill="1" applyAlignment="1">
      <alignment horizontal="right"/>
    </xf>
    <xf numFmtId="172" fontId="9" fillId="8" borderId="12" xfId="4" applyNumberFormat="1" applyFont="1" applyFill="1" applyBorder="1" applyAlignment="1">
      <alignment horizontal="right"/>
    </xf>
    <xf numFmtId="0" fontId="9" fillId="8" borderId="12" xfId="4" applyFont="1" applyFill="1" applyBorder="1"/>
    <xf numFmtId="172" fontId="9" fillId="9" borderId="13" xfId="4" applyNumberFormat="1" applyFont="1" applyFill="1" applyBorder="1" applyAlignment="1" applyProtection="1">
      <alignment vertical="center" wrapText="1"/>
      <protection locked="0"/>
    </xf>
    <xf numFmtId="0" fontId="13" fillId="10" borderId="4" xfId="4" applyFont="1" applyFill="1" applyBorder="1"/>
    <xf numFmtId="0" fontId="9" fillId="10" borderId="5" xfId="4" applyFont="1" applyFill="1" applyBorder="1"/>
    <xf numFmtId="3" fontId="9" fillId="10" borderId="6" xfId="4" applyNumberFormat="1" applyFont="1" applyFill="1" applyBorder="1"/>
    <xf numFmtId="0" fontId="9" fillId="10" borderId="4" xfId="4" applyFont="1" applyFill="1" applyBorder="1"/>
    <xf numFmtId="0" fontId="9" fillId="10" borderId="6" xfId="4" applyFont="1" applyFill="1" applyBorder="1"/>
    <xf numFmtId="0" fontId="9" fillId="10" borderId="7" xfId="4" applyFont="1" applyFill="1" applyBorder="1"/>
    <xf numFmtId="0" fontId="11" fillId="10" borderId="8" xfId="4" applyFont="1" applyFill="1" applyBorder="1"/>
    <xf numFmtId="0" fontId="15" fillId="10" borderId="9" xfId="4" applyFont="1" applyFill="1" applyBorder="1" applyAlignment="1" applyProtection="1">
      <alignment wrapText="1"/>
      <protection locked="0"/>
    </xf>
    <xf numFmtId="0" fontId="9" fillId="10" borderId="10" xfId="4" applyFont="1" applyFill="1" applyBorder="1"/>
    <xf numFmtId="173" fontId="9" fillId="10" borderId="10" xfId="4" applyNumberFormat="1" applyFont="1" applyFill="1" applyBorder="1"/>
    <xf numFmtId="1" fontId="9" fillId="10" borderId="10" xfId="4" applyNumberFormat="1" applyFont="1" applyFill="1" applyBorder="1"/>
    <xf numFmtId="0" fontId="9" fillId="10" borderId="8" xfId="4" applyFont="1" applyFill="1" applyBorder="1"/>
    <xf numFmtId="0" fontId="9" fillId="10" borderId="11" xfId="4" applyFont="1" applyFill="1" applyBorder="1"/>
    <xf numFmtId="0" fontId="15" fillId="11" borderId="12" xfId="4" applyFont="1" applyFill="1" applyBorder="1" applyAlignment="1" applyProtection="1">
      <alignment wrapText="1"/>
      <protection locked="0"/>
    </xf>
    <xf numFmtId="0" fontId="15" fillId="11" borderId="13" xfId="4" applyFont="1" applyFill="1" applyBorder="1" applyAlignment="1" applyProtection="1">
      <alignment wrapText="1"/>
      <protection locked="0"/>
    </xf>
    <xf numFmtId="3" fontId="9" fillId="11" borderId="0" xfId="4" applyNumberFormat="1" applyFont="1" applyFill="1"/>
    <xf numFmtId="0" fontId="9" fillId="11" borderId="12" xfId="4" applyFont="1" applyFill="1" applyBorder="1"/>
    <xf numFmtId="0" fontId="9" fillId="11" borderId="0" xfId="4" applyFont="1" applyFill="1"/>
    <xf numFmtId="0" fontId="9" fillId="11" borderId="14" xfId="4" applyFont="1" applyFill="1" applyBorder="1"/>
    <xf numFmtId="0" fontId="9" fillId="11" borderId="12" xfId="4" applyFont="1" applyFill="1" applyBorder="1" applyAlignment="1">
      <alignment horizontal="left" indent="1"/>
    </xf>
    <xf numFmtId="3" fontId="9" fillId="11" borderId="13" xfId="4" applyNumberFormat="1" applyFont="1" applyFill="1" applyBorder="1" applyAlignment="1" applyProtection="1">
      <alignment vertical="center" wrapText="1"/>
      <protection locked="0"/>
    </xf>
    <xf numFmtId="3" fontId="9" fillId="11" borderId="12" xfId="4" applyNumberFormat="1" applyFont="1" applyFill="1" applyBorder="1"/>
    <xf numFmtId="3" fontId="9" fillId="11" borderId="14" xfId="4" applyNumberFormat="1" applyFont="1" applyFill="1" applyBorder="1"/>
    <xf numFmtId="0" fontId="9" fillId="11" borderId="12" xfId="4" applyFont="1" applyFill="1" applyBorder="1" applyAlignment="1" applyProtection="1">
      <alignment horizontal="left" vertical="center" wrapText="1" indent="1"/>
      <protection locked="0"/>
    </xf>
    <xf numFmtId="4" fontId="9" fillId="11" borderId="0" xfId="4" applyNumberFormat="1" applyFont="1" applyFill="1"/>
    <xf numFmtId="0" fontId="15" fillId="11" borderId="12" xfId="4" applyFont="1" applyFill="1" applyBorder="1" applyAlignment="1" applyProtection="1">
      <alignment horizontal="left" vertical="center" wrapText="1"/>
      <protection locked="0"/>
    </xf>
    <xf numFmtId="0" fontId="9" fillId="11" borderId="13" xfId="4" applyFont="1" applyFill="1" applyBorder="1" applyAlignment="1" applyProtection="1">
      <alignment horizontal="left" vertical="center" wrapText="1" indent="1"/>
      <protection locked="0"/>
    </xf>
    <xf numFmtId="173" fontId="9" fillId="11" borderId="0" xfId="4" applyNumberFormat="1" applyFont="1" applyFill="1"/>
    <xf numFmtId="1" fontId="9" fillId="11" borderId="0" xfId="7" applyNumberFormat="1" applyFont="1" applyFill="1" applyBorder="1"/>
    <xf numFmtId="1" fontId="9" fillId="11" borderId="0" xfId="4" applyNumberFormat="1" applyFont="1" applyFill="1"/>
    <xf numFmtId="0" fontId="9" fillId="11" borderId="12" xfId="4" applyFont="1" applyFill="1" applyBorder="1" applyAlignment="1" applyProtection="1">
      <alignment horizontal="left" wrapText="1" indent="1"/>
      <protection locked="0"/>
    </xf>
    <xf numFmtId="168" fontId="9" fillId="11" borderId="0" xfId="1" applyNumberFormat="1" applyFont="1" applyFill="1" applyBorder="1"/>
    <xf numFmtId="3" fontId="9" fillId="11" borderId="12" xfId="4" applyNumberFormat="1" applyFont="1" applyFill="1" applyBorder="1" applyAlignment="1" applyProtection="1">
      <alignment horizontal="left" vertical="center" wrapText="1" indent="1"/>
      <protection locked="0"/>
    </xf>
    <xf numFmtId="168" fontId="9" fillId="11" borderId="0" xfId="1" quotePrefix="1" applyNumberFormat="1" applyFont="1" applyFill="1" applyBorder="1" applyAlignment="1">
      <alignment horizontal="right"/>
    </xf>
    <xf numFmtId="3" fontId="9" fillId="11" borderId="12" xfId="4" applyNumberFormat="1" applyFont="1" applyFill="1" applyBorder="1" applyAlignment="1" applyProtection="1">
      <alignment vertical="center" wrapText="1"/>
      <protection locked="0"/>
    </xf>
    <xf numFmtId="0" fontId="9" fillId="11" borderId="12" xfId="4" applyFont="1" applyFill="1" applyBorder="1" applyAlignment="1">
      <alignment horizontal="left" indent="2"/>
    </xf>
    <xf numFmtId="4" fontId="9" fillId="11" borderId="0" xfId="4" quotePrefix="1" applyNumberFormat="1" applyFont="1" applyFill="1" applyAlignment="1">
      <alignment horizontal="right"/>
    </xf>
    <xf numFmtId="3" fontId="9" fillId="11" borderId="0" xfId="4" quotePrefix="1" applyNumberFormat="1" applyFont="1" applyFill="1" applyAlignment="1">
      <alignment horizontal="right"/>
    </xf>
    <xf numFmtId="167" fontId="9" fillId="11" borderId="13" xfId="4" applyNumberFormat="1" applyFont="1" applyFill="1" applyBorder="1" applyAlignment="1" applyProtection="1">
      <alignment vertical="center" wrapText="1"/>
      <protection locked="0"/>
    </xf>
    <xf numFmtId="171" fontId="9" fillId="11" borderId="0" xfId="7" applyNumberFormat="1" applyFont="1" applyFill="1" applyBorder="1" applyAlignment="1" applyProtection="1">
      <alignment vertical="center" wrapText="1"/>
      <protection locked="0"/>
    </xf>
    <xf numFmtId="167" fontId="9" fillId="11" borderId="12" xfId="4" applyNumberFormat="1" applyFont="1" applyFill="1" applyBorder="1" applyAlignment="1" applyProtection="1">
      <alignment vertical="center" wrapText="1"/>
      <protection locked="0"/>
    </xf>
    <xf numFmtId="167" fontId="9" fillId="11" borderId="0" xfId="4" applyNumberFormat="1" applyFont="1" applyFill="1" applyAlignment="1" applyProtection="1">
      <alignment vertical="center" wrapText="1"/>
      <protection locked="0"/>
    </xf>
    <xf numFmtId="167" fontId="9" fillId="11" borderId="14" xfId="4" applyNumberFormat="1" applyFont="1" applyFill="1" applyBorder="1" applyAlignment="1" applyProtection="1">
      <alignment vertical="center" wrapText="1"/>
      <protection locked="0"/>
    </xf>
    <xf numFmtId="0" fontId="9" fillId="11" borderId="12" xfId="4" applyFont="1" applyFill="1" applyBorder="1" applyAlignment="1" applyProtection="1">
      <alignment horizontal="left" vertical="center" wrapText="1"/>
      <protection locked="0"/>
    </xf>
    <xf numFmtId="168" fontId="9" fillId="11" borderId="0" xfId="1" applyNumberFormat="1" applyFont="1" applyFill="1" applyBorder="1" applyAlignment="1" applyProtection="1">
      <alignment vertical="center" wrapText="1"/>
      <protection locked="0"/>
    </xf>
    <xf numFmtId="172" fontId="9" fillId="11" borderId="13" xfId="4" applyNumberFormat="1" applyFont="1" applyFill="1" applyBorder="1" applyAlignment="1" applyProtection="1">
      <alignment vertical="center" wrapText="1"/>
      <protection locked="0"/>
    </xf>
    <xf numFmtId="172" fontId="9" fillId="11" borderId="0" xfId="4" applyNumberFormat="1" applyFont="1" applyFill="1" applyAlignment="1" applyProtection="1">
      <alignment vertical="center" wrapText="1"/>
      <protection locked="0"/>
    </xf>
    <xf numFmtId="172" fontId="9" fillId="11" borderId="12" xfId="4" applyNumberFormat="1" applyFont="1" applyFill="1" applyBorder="1" applyAlignment="1" applyProtection="1">
      <alignment vertical="center" wrapText="1"/>
      <protection locked="0"/>
    </xf>
    <xf numFmtId="172" fontId="9" fillId="11" borderId="14" xfId="4" applyNumberFormat="1" applyFont="1" applyFill="1" applyBorder="1" applyAlignment="1" applyProtection="1">
      <alignment vertical="center" wrapText="1"/>
      <protection locked="0"/>
    </xf>
    <xf numFmtId="0" fontId="9" fillId="11" borderId="13" xfId="4" applyFont="1" applyFill="1" applyBorder="1"/>
    <xf numFmtId="167" fontId="17" fillId="11" borderId="0" xfId="4" applyNumberFormat="1" applyFont="1" applyFill="1"/>
    <xf numFmtId="171" fontId="17" fillId="11" borderId="0" xfId="7" applyNumberFormat="1" applyFont="1" applyFill="1" applyBorder="1"/>
    <xf numFmtId="0" fontId="9" fillId="11" borderId="12" xfId="4" applyFont="1" applyFill="1" applyBorder="1" applyAlignment="1" applyProtection="1">
      <alignment horizontal="left" vertical="center" wrapText="1" indent="2"/>
      <protection locked="0"/>
    </xf>
    <xf numFmtId="0" fontId="9" fillId="11" borderId="13" xfId="4" applyFont="1" applyFill="1" applyBorder="1" applyAlignment="1" applyProtection="1">
      <alignment horizontal="left" vertical="center" wrapText="1" indent="2"/>
      <protection locked="0"/>
    </xf>
    <xf numFmtId="0" fontId="13" fillId="7" borderId="4" xfId="4" applyFont="1" applyFill="1" applyBorder="1"/>
    <xf numFmtId="0" fontId="9" fillId="7" borderId="5" xfId="4" applyFont="1" applyFill="1" applyBorder="1"/>
    <xf numFmtId="3" fontId="9" fillId="7" borderId="6" xfId="4" applyNumberFormat="1" applyFont="1" applyFill="1" applyBorder="1"/>
    <xf numFmtId="0" fontId="9" fillId="7" borderId="4" xfId="4" applyFont="1" applyFill="1" applyBorder="1"/>
    <xf numFmtId="0" fontId="9" fillId="7" borderId="6" xfId="4" applyFont="1" applyFill="1" applyBorder="1"/>
    <xf numFmtId="0" fontId="9" fillId="7" borderId="7" xfId="4" applyFont="1" applyFill="1" applyBorder="1"/>
    <xf numFmtId="0" fontId="11" fillId="7" borderId="8" xfId="4" applyFont="1" applyFill="1" applyBorder="1"/>
    <xf numFmtId="0" fontId="15" fillId="7" borderId="9" xfId="4" applyFont="1" applyFill="1" applyBorder="1" applyAlignment="1" applyProtection="1">
      <alignment wrapText="1"/>
      <protection locked="0"/>
    </xf>
    <xf numFmtId="0" fontId="9" fillId="7" borderId="10" xfId="4" applyFont="1" applyFill="1" applyBorder="1"/>
    <xf numFmtId="173" fontId="9" fillId="7" borderId="10" xfId="4" applyNumberFormat="1" applyFont="1" applyFill="1" applyBorder="1"/>
    <xf numFmtId="1" fontId="9" fillId="7" borderId="10" xfId="4" applyNumberFormat="1" applyFont="1" applyFill="1" applyBorder="1"/>
    <xf numFmtId="0" fontId="9" fillId="7" borderId="8" xfId="4" applyFont="1" applyFill="1" applyBorder="1"/>
    <xf numFmtId="0" fontId="9" fillId="7" borderId="11" xfId="4" applyFont="1" applyFill="1" applyBorder="1"/>
    <xf numFmtId="0" fontId="15" fillId="12" borderId="12" xfId="4" applyFont="1" applyFill="1" applyBorder="1" applyAlignment="1" applyProtection="1">
      <alignment wrapText="1"/>
      <protection locked="0"/>
    </xf>
    <xf numFmtId="0" fontId="15" fillId="12" borderId="13" xfId="4" applyFont="1" applyFill="1" applyBorder="1" applyAlignment="1" applyProtection="1">
      <alignment wrapText="1"/>
      <protection locked="0"/>
    </xf>
    <xf numFmtId="0" fontId="9" fillId="12" borderId="0" xfId="4" applyFont="1" applyFill="1"/>
    <xf numFmtId="0" fontId="9" fillId="12" borderId="12" xfId="4" applyFont="1" applyFill="1" applyBorder="1"/>
    <xf numFmtId="0" fontId="9" fillId="12" borderId="14" xfId="4" applyFont="1" applyFill="1" applyBorder="1"/>
    <xf numFmtId="0" fontId="9" fillId="12" borderId="12" xfId="4" applyFont="1" applyFill="1" applyBorder="1" applyAlignment="1" applyProtection="1">
      <alignment horizontal="left" vertical="center" wrapText="1" indent="1"/>
      <protection locked="0"/>
    </xf>
    <xf numFmtId="167" fontId="9" fillId="12" borderId="13" xfId="4" applyNumberFormat="1" applyFont="1" applyFill="1" applyBorder="1" applyAlignment="1" applyProtection="1">
      <alignment vertical="center" wrapText="1"/>
      <protection locked="0"/>
    </xf>
    <xf numFmtId="167" fontId="9" fillId="12" borderId="0" xfId="7" applyNumberFormat="1" applyFont="1" applyFill="1" applyBorder="1"/>
    <xf numFmtId="167" fontId="9" fillId="12" borderId="12" xfId="7" applyNumberFormat="1" applyFont="1" applyFill="1" applyBorder="1"/>
    <xf numFmtId="167" fontId="9" fillId="12" borderId="14" xfId="7" applyNumberFormat="1" applyFont="1" applyFill="1" applyBorder="1"/>
    <xf numFmtId="0" fontId="9" fillId="12" borderId="12" xfId="4" applyFont="1" applyFill="1" applyBorder="1" applyAlignment="1">
      <alignment horizontal="left" indent="1"/>
    </xf>
    <xf numFmtId="2" fontId="9" fillId="12" borderId="13" xfId="4" applyNumberFormat="1" applyFont="1" applyFill="1" applyBorder="1"/>
    <xf numFmtId="167" fontId="9" fillId="9" borderId="0" xfId="4" applyNumberFormat="1" applyFont="1" applyFill="1"/>
    <xf numFmtId="167" fontId="9" fillId="12" borderId="0" xfId="4" applyNumberFormat="1" applyFont="1" applyFill="1"/>
    <xf numFmtId="167" fontId="9" fillId="12" borderId="12" xfId="4" applyNumberFormat="1" applyFont="1" applyFill="1" applyBorder="1"/>
    <xf numFmtId="167" fontId="9" fillId="12" borderId="14" xfId="4" applyNumberFormat="1" applyFont="1" applyFill="1" applyBorder="1"/>
    <xf numFmtId="0" fontId="15" fillId="12" borderId="12" xfId="4" applyFont="1" applyFill="1" applyBorder="1" applyProtection="1">
      <protection locked="0"/>
    </xf>
    <xf numFmtId="0" fontId="15" fillId="12" borderId="13" xfId="4" applyFont="1" applyFill="1" applyBorder="1" applyProtection="1">
      <protection locked="0"/>
    </xf>
    <xf numFmtId="172" fontId="9" fillId="12" borderId="0" xfId="4" applyNumberFormat="1" applyFont="1" applyFill="1"/>
    <xf numFmtId="172" fontId="9" fillId="12" borderId="12" xfId="4" applyNumberFormat="1" applyFont="1" applyFill="1" applyBorder="1"/>
    <xf numFmtId="172" fontId="9" fillId="12" borderId="14" xfId="4" applyNumberFormat="1" applyFont="1" applyFill="1" applyBorder="1"/>
    <xf numFmtId="167" fontId="9" fillId="12" borderId="13" xfId="4" applyNumberFormat="1" applyFont="1" applyFill="1" applyBorder="1"/>
    <xf numFmtId="167" fontId="9" fillId="12" borderId="12" xfId="4" applyNumberFormat="1" applyFont="1" applyFill="1" applyBorder="1" applyAlignment="1" applyProtection="1">
      <alignment horizontal="left" vertical="center" wrapText="1" indent="1"/>
      <protection locked="0"/>
    </xf>
    <xf numFmtId="167" fontId="9" fillId="9" borderId="13" xfId="4" applyNumberFormat="1" applyFont="1" applyFill="1" applyBorder="1"/>
    <xf numFmtId="167" fontId="9" fillId="12" borderId="0" xfId="4" applyNumberFormat="1" applyFont="1" applyFill="1" applyAlignment="1" applyProtection="1">
      <alignment vertical="center" wrapText="1"/>
      <protection locked="0"/>
    </xf>
    <xf numFmtId="167" fontId="9" fillId="9" borderId="0" xfId="4" applyNumberFormat="1" applyFont="1" applyFill="1" applyAlignment="1" applyProtection="1">
      <alignment vertical="center" wrapText="1"/>
      <protection locked="0"/>
    </xf>
    <xf numFmtId="167" fontId="9" fillId="12" borderId="12" xfId="4" applyNumberFormat="1" applyFont="1" applyFill="1" applyBorder="1" applyAlignment="1" applyProtection="1">
      <alignment vertical="center" wrapText="1"/>
      <protection locked="0"/>
    </xf>
    <xf numFmtId="167" fontId="9" fillId="12" borderId="14" xfId="4" applyNumberFormat="1" applyFont="1" applyFill="1" applyBorder="1" applyAlignment="1" applyProtection="1">
      <alignment vertical="center" wrapText="1"/>
      <protection locked="0"/>
    </xf>
    <xf numFmtId="167" fontId="9" fillId="12" borderId="0" xfId="1" applyNumberFormat="1" applyFont="1" applyFill="1" applyBorder="1" applyAlignment="1"/>
    <xf numFmtId="167" fontId="9" fillId="9" borderId="13" xfId="4" applyNumberFormat="1" applyFont="1" applyFill="1" applyBorder="1" applyAlignment="1" applyProtection="1">
      <alignment vertical="center" wrapText="1"/>
      <protection locked="0"/>
    </xf>
    <xf numFmtId="0" fontId="9" fillId="12" borderId="13" xfId="4" applyFont="1" applyFill="1" applyBorder="1" applyAlignment="1" applyProtection="1">
      <alignment horizontal="left" vertical="center" wrapText="1" indent="1"/>
      <protection locked="0"/>
    </xf>
    <xf numFmtId="0" fontId="9" fillId="12" borderId="12" xfId="4" applyFont="1" applyFill="1" applyBorder="1" applyAlignment="1" applyProtection="1">
      <alignment horizontal="left" indent="1"/>
      <protection locked="0"/>
    </xf>
    <xf numFmtId="0" fontId="15" fillId="12" borderId="12" xfId="4" applyFont="1" applyFill="1" applyBorder="1"/>
    <xf numFmtId="0" fontId="9" fillId="12" borderId="13" xfId="4" applyFont="1" applyFill="1" applyBorder="1"/>
    <xf numFmtId="167" fontId="9" fillId="12" borderId="13" xfId="4" applyNumberFormat="1" applyFont="1" applyFill="1" applyBorder="1" applyProtection="1">
      <protection locked="0"/>
    </xf>
    <xf numFmtId="167" fontId="9" fillId="9" borderId="0" xfId="4" applyNumberFormat="1" applyFont="1" applyFill="1" applyProtection="1">
      <protection locked="0"/>
    </xf>
    <xf numFmtId="167" fontId="9" fillId="12" borderId="0" xfId="4" applyNumberFormat="1" applyFont="1" applyFill="1" applyProtection="1">
      <protection locked="0"/>
    </xf>
    <xf numFmtId="167" fontId="9" fillId="12" borderId="12" xfId="4" applyNumberFormat="1" applyFont="1" applyFill="1" applyBorder="1" applyProtection="1">
      <protection locked="0"/>
    </xf>
    <xf numFmtId="167" fontId="9" fillId="12" borderId="14" xfId="4" applyNumberFormat="1" applyFont="1" applyFill="1" applyBorder="1" applyProtection="1">
      <protection locked="0"/>
    </xf>
    <xf numFmtId="0" fontId="9" fillId="12" borderId="8" xfId="4" applyFont="1" applyFill="1" applyBorder="1" applyAlignment="1" applyProtection="1">
      <alignment horizontal="left" indent="1"/>
      <protection locked="0"/>
    </xf>
    <xf numFmtId="167" fontId="9" fillId="9" borderId="9" xfId="4" applyNumberFormat="1" applyFont="1" applyFill="1" applyBorder="1" applyProtection="1">
      <protection locked="0"/>
    </xf>
    <xf numFmtId="167" fontId="9" fillId="9" borderId="10" xfId="4" applyNumberFormat="1" applyFont="1" applyFill="1" applyBorder="1" applyAlignment="1">
      <alignment horizontal="right"/>
    </xf>
    <xf numFmtId="167" fontId="9" fillId="12" borderId="10" xfId="4" applyNumberFormat="1" applyFont="1" applyFill="1" applyBorder="1" applyAlignment="1">
      <alignment horizontal="right"/>
    </xf>
    <xf numFmtId="167" fontId="9" fillId="12" borderId="8" xfId="4" applyNumberFormat="1" applyFont="1" applyFill="1" applyBorder="1" applyAlignment="1">
      <alignment horizontal="right"/>
    </xf>
    <xf numFmtId="167" fontId="9" fillId="12" borderId="11" xfId="4" applyNumberFormat="1" applyFont="1" applyFill="1" applyBorder="1" applyAlignment="1">
      <alignment horizontal="right"/>
    </xf>
    <xf numFmtId="0" fontId="9" fillId="13" borderId="2" xfId="0" applyFont="1" applyFill="1" applyBorder="1"/>
    <xf numFmtId="3" fontId="9" fillId="13" borderId="15" xfId="0" applyNumberFormat="1" applyFont="1" applyFill="1" applyBorder="1"/>
    <xf numFmtId="4" fontId="3" fillId="9" borderId="1" xfId="0" applyNumberFormat="1" applyFont="1" applyFill="1" applyBorder="1"/>
    <xf numFmtId="4" fontId="3" fillId="14" borderId="1" xfId="0" applyNumberFormat="1" applyFont="1" applyFill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65" fontId="3" fillId="0" borderId="1" xfId="0" applyNumberFormat="1" applyFont="1" applyBorder="1"/>
    <xf numFmtId="0" fontId="7" fillId="3" borderId="1" xfId="0" applyFont="1" applyFill="1" applyBorder="1" applyAlignment="1">
      <alignment horizontal="left"/>
    </xf>
    <xf numFmtId="4" fontId="4" fillId="3" borderId="1" xfId="0" applyNumberFormat="1" applyFont="1" applyFill="1" applyBorder="1" applyAlignment="1">
      <alignment horizontal="right"/>
    </xf>
    <xf numFmtId="4" fontId="4" fillId="0" borderId="0" xfId="0" applyNumberFormat="1" applyFont="1"/>
    <xf numFmtId="4" fontId="4" fillId="0" borderId="3" xfId="0" applyNumberFormat="1" applyFont="1" applyBorder="1"/>
    <xf numFmtId="0" fontId="4" fillId="0" borderId="3" xfId="0" applyFont="1" applyBorder="1"/>
    <xf numFmtId="4" fontId="3" fillId="15" borderId="1" xfId="0" applyNumberFormat="1" applyFont="1" applyFill="1" applyBorder="1"/>
    <xf numFmtId="0" fontId="19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wrapText="1"/>
    </xf>
    <xf numFmtId="10" fontId="3" fillId="0" borderId="0" xfId="9" applyNumberFormat="1" applyFont="1"/>
    <xf numFmtId="9" fontId="3" fillId="0" borderId="0" xfId="9" applyNumberFormat="1" applyFont="1"/>
  </cellXfs>
  <cellStyles count="10">
    <cellStyle name="Comma" xfId="3" builtinId="3"/>
    <cellStyle name="Comma 2" xfId="1" xr:uid="{00000000-0005-0000-0000-000001000000}"/>
    <cellStyle name="Comma 2 2" xfId="2" xr:uid="{00000000-0005-0000-0000-000002000000}"/>
    <cellStyle name="Millares 5" xfId="6" xr:uid="{5FDDC17A-BC30-D74A-A8E6-18A090E12C1D}"/>
    <cellStyle name="Normal" xfId="0" builtinId="0"/>
    <cellStyle name="Normal 10 3" xfId="5" xr:uid="{E4BAC1E7-5821-5E48-B860-C7890D1D7EB3}"/>
    <cellStyle name="Normal 2" xfId="4" xr:uid="{19519363-97DB-B74A-A778-375D332482F4}"/>
    <cellStyle name="Normal_basetot" xfId="8" xr:uid="{8B0FB70C-9686-2841-B363-7406278F086C}"/>
    <cellStyle name="Per cent" xfId="9" builtinId="5"/>
    <cellStyle name="Percent 2" xfId="7" xr:uid="{2326E0D3-B9DB-084E-AD2E-46077D305F9A}"/>
  </cellStyles>
  <dxfs count="0"/>
  <tableStyles count="0" defaultTableStyle="TableStyleMedium9" defaultPivotStyle="PivotStyleLight16"/>
  <colors>
    <mruColors>
      <color rgb="FF00FFFF"/>
      <color rgb="FF6666FF"/>
      <color rgb="FFFF99CC"/>
      <color rgb="FFFFFF00"/>
      <color rgb="FFCCFF99"/>
      <color rgb="FFFFFF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sential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250000"/>
              </a:schemeClr>
            </a:gs>
            <a:gs pos="35000">
              <a:schemeClr val="phClr">
                <a:tint val="47000"/>
                <a:satMod val="275000"/>
              </a:schemeClr>
            </a:gs>
            <a:gs pos="100000">
              <a:schemeClr val="phClr">
                <a:tint val="25000"/>
                <a:satMod val="300000"/>
              </a:schemeClr>
            </a:gs>
          </a:gsLst>
          <a:lin ang="16200000" scaled="1"/>
        </a:gradFill>
        <a:solidFill>
          <a:schemeClr val="phClr">
            <a:satMod val="110000"/>
          </a:schemeClr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  <a:ln w="4127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9999" dist="23000" algn="bl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38100" dist="19050" algn="bl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l"/>
          </a:scene3d>
          <a:sp3d prstMaterial="plastic">
            <a:bevelT w="38100" h="3175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37"/>
  <sheetViews>
    <sheetView tabSelected="1" zoomScale="130" zoomScaleNormal="13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31" sqref="B31"/>
    </sheetView>
  </sheetViews>
  <sheetFormatPr baseColWidth="10" defaultColWidth="9.1640625" defaultRowHeight="16" x14ac:dyDescent="0.2"/>
  <cols>
    <col min="1" max="1" width="54.5" style="2" bestFit="1" customWidth="1"/>
    <col min="2" max="7" width="19.5" style="2" bestFit="1" customWidth="1"/>
    <col min="8" max="8" width="19.5" style="2" customWidth="1"/>
    <col min="9" max="9" width="19.5" style="2" bestFit="1" customWidth="1"/>
    <col min="10" max="12" width="19.5" style="1" bestFit="1" customWidth="1"/>
    <col min="13" max="13" width="18.5" style="8" bestFit="1" customWidth="1"/>
    <col min="14" max="15" width="18.5" style="1" bestFit="1" customWidth="1"/>
    <col min="16" max="16" width="17.83203125" style="1" bestFit="1" customWidth="1"/>
    <col min="17" max="16384" width="9.1640625" style="1"/>
  </cols>
  <sheetData>
    <row r="1" spans="1:16" x14ac:dyDescent="0.2">
      <c r="A1" s="238" t="s">
        <v>5</v>
      </c>
      <c r="B1" s="239">
        <v>41364</v>
      </c>
      <c r="C1" s="239">
        <v>41729</v>
      </c>
      <c r="D1" s="239">
        <v>42094</v>
      </c>
      <c r="E1" s="239">
        <v>42460</v>
      </c>
      <c r="F1" s="239">
        <v>42825</v>
      </c>
      <c r="G1" s="239">
        <v>43190</v>
      </c>
      <c r="H1" s="239">
        <v>43555</v>
      </c>
      <c r="I1" s="239">
        <v>43921</v>
      </c>
      <c r="J1" s="239">
        <v>44286</v>
      </c>
      <c r="K1" s="239">
        <v>44651</v>
      </c>
      <c r="L1" s="239">
        <v>45016</v>
      </c>
      <c r="M1" s="239">
        <v>45382</v>
      </c>
      <c r="N1" s="239">
        <v>45747</v>
      </c>
      <c r="O1" s="239">
        <v>46112</v>
      </c>
    </row>
    <row r="2" spans="1:16" x14ac:dyDescent="0.2">
      <c r="A2" s="248" t="s">
        <v>155</v>
      </c>
      <c r="B2" s="13">
        <v>14.57</v>
      </c>
      <c r="C2" s="13">
        <v>14.84</v>
      </c>
      <c r="D2" s="13">
        <v>15.64</v>
      </c>
      <c r="E2" s="13">
        <v>15.83</v>
      </c>
      <c r="F2" s="13">
        <v>15.22</v>
      </c>
      <c r="G2" s="13">
        <v>15.38</v>
      </c>
      <c r="H2" s="13">
        <v>16.13</v>
      </c>
      <c r="I2" s="13">
        <v>18.350000000000001</v>
      </c>
      <c r="J2" s="13">
        <v>20.149999999999999</v>
      </c>
      <c r="K2" s="13">
        <v>21.43</v>
      </c>
      <c r="L2" s="13">
        <v>23.39</v>
      </c>
      <c r="M2" s="13">
        <v>24.74</v>
      </c>
      <c r="N2" s="13">
        <v>24.41</v>
      </c>
      <c r="O2" s="13">
        <v>23.94</v>
      </c>
    </row>
    <row r="3" spans="1:16" x14ac:dyDescent="0.2">
      <c r="A3" s="248" t="s">
        <v>14</v>
      </c>
      <c r="B3" s="13">
        <v>88.2</v>
      </c>
      <c r="C3" s="13">
        <v>92.57</v>
      </c>
      <c r="D3" s="13">
        <v>95.94</v>
      </c>
      <c r="E3" s="13">
        <v>100.25</v>
      </c>
      <c r="F3" s="13">
        <v>104.74</v>
      </c>
      <c r="G3" s="13">
        <v>111.22</v>
      </c>
      <c r="H3" s="13">
        <v>118.13</v>
      </c>
      <c r="I3" s="13">
        <v>128.6</v>
      </c>
      <c r="J3" s="13">
        <v>139.94999999999999</v>
      </c>
      <c r="K3" s="13">
        <v>202.13</v>
      </c>
      <c r="L3" s="13">
        <v>216.46</v>
      </c>
      <c r="M3" s="13">
        <v>222.17</v>
      </c>
      <c r="N3" s="13">
        <v>262.25</v>
      </c>
      <c r="O3" s="13">
        <v>263.76</v>
      </c>
      <c r="P3" s="15"/>
    </row>
    <row r="4" spans="1:16" ht="14.25" customHeight="1" x14ac:dyDescent="0.2">
      <c r="A4" s="249" t="s">
        <v>15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5"/>
    </row>
    <row r="5" spans="1:16" x14ac:dyDescent="0.2">
      <c r="A5" s="9" t="s">
        <v>1</v>
      </c>
      <c r="B5" s="236">
        <f>B6+B7</f>
        <v>565.15</v>
      </c>
      <c r="C5" s="236">
        <f t="shared" ref="C5:O5" si="0">C6+C7</f>
        <v>642.55999999999995</v>
      </c>
      <c r="D5" s="236">
        <f t="shared" si="0"/>
        <v>746.98</v>
      </c>
      <c r="E5" s="236">
        <f t="shared" si="0"/>
        <v>872.88</v>
      </c>
      <c r="F5" s="236">
        <f t="shared" si="0"/>
        <v>1039.18</v>
      </c>
      <c r="G5" s="236">
        <f t="shared" si="0"/>
        <v>1142.6099999999999</v>
      </c>
      <c r="H5" s="236">
        <f t="shared" si="0"/>
        <v>1355.43</v>
      </c>
      <c r="I5" s="236">
        <f t="shared" si="0"/>
        <v>1366.59</v>
      </c>
      <c r="J5" s="236">
        <f t="shared" si="0"/>
        <v>1498.51</v>
      </c>
      <c r="K5" s="236">
        <f t="shared" si="0"/>
        <v>1663.26</v>
      </c>
      <c r="L5" s="236">
        <f t="shared" si="0"/>
        <v>1967.72</v>
      </c>
      <c r="M5" s="236">
        <f t="shared" si="0"/>
        <v>2071.38</v>
      </c>
      <c r="N5" s="236">
        <f t="shared" si="0"/>
        <v>2206.13</v>
      </c>
      <c r="O5" s="236">
        <f t="shared" si="0"/>
        <v>2530.66</v>
      </c>
      <c r="P5" s="15"/>
    </row>
    <row r="6" spans="1:16" x14ac:dyDescent="0.2">
      <c r="A6" s="248" t="s">
        <v>156</v>
      </c>
      <c r="B6" s="23">
        <v>237.36299999999994</v>
      </c>
      <c r="C6" s="23">
        <v>218.47039999999998</v>
      </c>
      <c r="D6" s="23">
        <v>209.15440000000001</v>
      </c>
      <c r="E6" s="23">
        <v>235.67759999999998</v>
      </c>
      <c r="F6" s="23">
        <v>342.92939999999999</v>
      </c>
      <c r="G6" s="23">
        <v>354.20910000000003</v>
      </c>
      <c r="H6" s="23">
        <v>569.28060000000005</v>
      </c>
      <c r="I6" s="23">
        <v>464.64059999999995</v>
      </c>
      <c r="J6" s="23">
        <v>569.43380000000002</v>
      </c>
      <c r="K6" s="23">
        <v>415.81500000000005</v>
      </c>
      <c r="L6" s="23">
        <v>826.44239999999991</v>
      </c>
      <c r="M6" s="23">
        <v>745.69680000000017</v>
      </c>
      <c r="N6" s="23">
        <v>661.83899999999994</v>
      </c>
      <c r="O6" s="23">
        <v>1088.1838</v>
      </c>
      <c r="P6" s="15"/>
    </row>
    <row r="7" spans="1:16" x14ac:dyDescent="0.2">
      <c r="A7" s="248" t="s">
        <v>157</v>
      </c>
      <c r="B7" s="23">
        <v>327.78700000000003</v>
      </c>
      <c r="C7" s="23">
        <v>424.08959999999996</v>
      </c>
      <c r="D7" s="23">
        <v>537.82560000000001</v>
      </c>
      <c r="E7" s="23">
        <v>637.20240000000001</v>
      </c>
      <c r="F7" s="23">
        <v>696.25060000000008</v>
      </c>
      <c r="G7" s="23">
        <v>788.40089999999987</v>
      </c>
      <c r="H7" s="23">
        <v>786.14940000000001</v>
      </c>
      <c r="I7" s="23">
        <v>901.94939999999997</v>
      </c>
      <c r="J7" s="23">
        <v>929.07619999999997</v>
      </c>
      <c r="K7" s="23">
        <v>1247.4449999999999</v>
      </c>
      <c r="L7" s="23">
        <v>1141.2776000000001</v>
      </c>
      <c r="M7" s="23">
        <v>1325.6831999999999</v>
      </c>
      <c r="N7" s="23">
        <v>1544.2910000000002</v>
      </c>
      <c r="O7" s="23">
        <v>1442.4761999999998</v>
      </c>
      <c r="P7" s="15"/>
    </row>
    <row r="8" spans="1:16" x14ac:dyDescent="0.2">
      <c r="A8" s="9" t="s">
        <v>2</v>
      </c>
      <c r="B8" s="237">
        <f>B9+B10</f>
        <v>61.23</v>
      </c>
      <c r="C8" s="237">
        <f t="shared" ref="C8:O8" si="1">C9+C10</f>
        <v>119.66250000000025</v>
      </c>
      <c r="D8" s="237">
        <f t="shared" si="1"/>
        <v>69.512499999999932</v>
      </c>
      <c r="E8" s="237">
        <f t="shared" si="1"/>
        <v>26.845000000000141</v>
      </c>
      <c r="F8" s="237">
        <f t="shared" si="1"/>
        <v>1.9474999999995362</v>
      </c>
      <c r="G8" s="237">
        <f t="shared" si="1"/>
        <v>1.3000000000004093</v>
      </c>
      <c r="H8" s="237">
        <f t="shared" si="1"/>
        <v>11.079999999999927</v>
      </c>
      <c r="I8" s="237">
        <f t="shared" si="1"/>
        <v>12.065000000000055</v>
      </c>
      <c r="J8" s="237">
        <f t="shared" si="1"/>
        <v>14.265000000000327</v>
      </c>
      <c r="K8" s="237">
        <f t="shared" si="1"/>
        <v>14.0300000000002</v>
      </c>
      <c r="L8" s="237">
        <f t="shared" si="1"/>
        <v>17.990000000000691</v>
      </c>
      <c r="M8" s="237">
        <f t="shared" si="1"/>
        <v>15.620000000001255</v>
      </c>
      <c r="N8" s="237">
        <f t="shared" si="1"/>
        <v>12.109999999999673</v>
      </c>
      <c r="O8" s="237">
        <f t="shared" si="1"/>
        <v>11.230000000000473</v>
      </c>
      <c r="P8" s="15"/>
    </row>
    <row r="9" spans="1:16" x14ac:dyDescent="0.2">
      <c r="A9" s="248" t="s">
        <v>143</v>
      </c>
      <c r="B9" s="23">
        <v>9.7967999999999993</v>
      </c>
      <c r="C9" s="23">
        <v>13.162875000000028</v>
      </c>
      <c r="D9" s="23">
        <v>12.512249999999987</v>
      </c>
      <c r="E9" s="23">
        <v>5.905900000000031</v>
      </c>
      <c r="F9" s="23">
        <v>0.44792499999989327</v>
      </c>
      <c r="G9" s="23">
        <v>0.15600000000004913</v>
      </c>
      <c r="H9" s="23">
        <v>1.8835999999999877</v>
      </c>
      <c r="I9" s="23">
        <v>2.5336500000000117</v>
      </c>
      <c r="J9" s="23">
        <v>2.9956500000000688</v>
      </c>
      <c r="K9" s="23">
        <v>3.2269000000000463</v>
      </c>
      <c r="L9" s="23">
        <v>2.8784000000001106</v>
      </c>
      <c r="M9" s="23">
        <v>3.9050000000003138</v>
      </c>
      <c r="N9" s="23">
        <v>2.7852999999999248</v>
      </c>
      <c r="O9" s="23">
        <v>1.4599000000000615</v>
      </c>
      <c r="P9" s="15"/>
    </row>
    <row r="10" spans="1:16" x14ac:dyDescent="0.2">
      <c r="A10" s="248" t="s">
        <v>144</v>
      </c>
      <c r="B10" s="23">
        <v>51.433199999999999</v>
      </c>
      <c r="C10" s="23">
        <v>106.49962500000022</v>
      </c>
      <c r="D10" s="23">
        <v>57.000249999999944</v>
      </c>
      <c r="E10" s="23">
        <v>20.93910000000011</v>
      </c>
      <c r="F10" s="23">
        <v>1.4995749999996428</v>
      </c>
      <c r="G10" s="23">
        <v>1.1440000000003601</v>
      </c>
      <c r="H10" s="23">
        <v>9.1963999999999402</v>
      </c>
      <c r="I10" s="23">
        <v>9.5313500000000424</v>
      </c>
      <c r="J10" s="23">
        <v>11.269350000000259</v>
      </c>
      <c r="K10" s="23">
        <v>10.803100000000153</v>
      </c>
      <c r="L10" s="23">
        <v>15.11160000000058</v>
      </c>
      <c r="M10" s="23">
        <v>11.715000000000941</v>
      </c>
      <c r="N10" s="23">
        <v>9.3246999999997477</v>
      </c>
      <c r="O10" s="23">
        <v>9.7701000000004115</v>
      </c>
      <c r="P10" s="15"/>
    </row>
    <row r="11" spans="1:16" x14ac:dyDescent="0.2">
      <c r="A11" s="248" t="s">
        <v>3</v>
      </c>
      <c r="B11" s="13">
        <v>0.59</v>
      </c>
      <c r="C11" s="13">
        <v>0.72</v>
      </c>
      <c r="D11" s="13">
        <v>0.91</v>
      </c>
      <c r="E11" s="13">
        <v>0.89</v>
      </c>
      <c r="F11" s="13">
        <v>0.88</v>
      </c>
      <c r="G11" s="13">
        <v>1.0900000000000001</v>
      </c>
      <c r="H11" s="13">
        <v>1.21</v>
      </c>
      <c r="I11" s="13">
        <v>1.19</v>
      </c>
      <c r="J11" s="13">
        <v>0.21</v>
      </c>
      <c r="K11" s="13">
        <v>0.3</v>
      </c>
      <c r="L11" s="13">
        <v>0.24</v>
      </c>
      <c r="M11" s="13">
        <v>0.24</v>
      </c>
      <c r="N11" s="13">
        <v>0.25</v>
      </c>
      <c r="O11" s="13">
        <v>0.18</v>
      </c>
      <c r="P11" s="15"/>
    </row>
    <row r="12" spans="1:16" x14ac:dyDescent="0.2">
      <c r="A12" s="248" t="s">
        <v>145</v>
      </c>
      <c r="B12" s="13">
        <v>11.06</v>
      </c>
      <c r="C12" s="13">
        <v>13.91</v>
      </c>
      <c r="D12" s="13">
        <v>16.7</v>
      </c>
      <c r="E12" s="13">
        <v>20.66</v>
      </c>
      <c r="F12" s="13">
        <v>20.03</v>
      </c>
      <c r="G12" s="13">
        <v>24.26</v>
      </c>
      <c r="H12" s="13">
        <v>22.49</v>
      </c>
      <c r="I12" s="13">
        <v>25.69</v>
      </c>
      <c r="J12" s="13">
        <v>29.62</v>
      </c>
      <c r="K12" s="13">
        <v>29.32</v>
      </c>
      <c r="L12" s="13">
        <v>9.66</v>
      </c>
      <c r="M12" s="13">
        <v>23.39</v>
      </c>
      <c r="N12" s="13">
        <v>40.270000000000003</v>
      </c>
      <c r="O12" s="13">
        <v>17.03</v>
      </c>
      <c r="P12" s="15"/>
    </row>
    <row r="13" spans="1:16" x14ac:dyDescent="0.2">
      <c r="A13" s="248" t="s">
        <v>154</v>
      </c>
      <c r="B13" s="13">
        <v>4.5199999999999996</v>
      </c>
      <c r="C13" s="13">
        <v>4.67</v>
      </c>
      <c r="D13" s="13">
        <v>5.67</v>
      </c>
      <c r="E13" s="13">
        <v>5.94</v>
      </c>
      <c r="F13" s="13">
        <v>7.85</v>
      </c>
      <c r="G13" s="13">
        <v>7.2</v>
      </c>
      <c r="H13" s="13">
        <v>9.9600000000000222</v>
      </c>
      <c r="I13" s="13">
        <v>10.249999999999988</v>
      </c>
      <c r="J13" s="13">
        <v>12.02999999999999</v>
      </c>
      <c r="K13" s="13">
        <v>14.340000000000002</v>
      </c>
      <c r="L13" s="13">
        <v>12.42</v>
      </c>
      <c r="M13" s="13">
        <v>12.8</v>
      </c>
      <c r="N13" s="13">
        <v>13.54</v>
      </c>
      <c r="O13" s="13">
        <v>18.420000000000002</v>
      </c>
      <c r="P13" s="15"/>
    </row>
    <row r="14" spans="1:16" x14ac:dyDescent="0.2">
      <c r="A14" s="248" t="s">
        <v>20</v>
      </c>
      <c r="B14" s="240">
        <f>0.25*B13</f>
        <v>1.1299999999999999</v>
      </c>
      <c r="C14" s="240">
        <f t="shared" ref="C14:O14" si="2">0.25*C13</f>
        <v>1.1675</v>
      </c>
      <c r="D14" s="240">
        <f t="shared" si="2"/>
        <v>1.4175</v>
      </c>
      <c r="E14" s="240">
        <f t="shared" si="2"/>
        <v>1.4850000000000001</v>
      </c>
      <c r="F14" s="240">
        <f t="shared" si="2"/>
        <v>1.9624999999999999</v>
      </c>
      <c r="G14" s="240">
        <f t="shared" si="2"/>
        <v>1.8</v>
      </c>
      <c r="H14" s="240">
        <f t="shared" si="2"/>
        <v>2.4900000000000055</v>
      </c>
      <c r="I14" s="240">
        <f t="shared" si="2"/>
        <v>2.5624999999999969</v>
      </c>
      <c r="J14" s="240">
        <f t="shared" si="2"/>
        <v>3.0074999999999976</v>
      </c>
      <c r="K14" s="240">
        <f t="shared" si="2"/>
        <v>3.5850000000000004</v>
      </c>
      <c r="L14" s="240">
        <f t="shared" si="2"/>
        <v>3.105</v>
      </c>
      <c r="M14" s="240">
        <f t="shared" si="2"/>
        <v>3.2</v>
      </c>
      <c r="N14" s="240">
        <f t="shared" si="2"/>
        <v>3.3849999999999998</v>
      </c>
      <c r="O14" s="240">
        <f t="shared" si="2"/>
        <v>4.6050000000000004</v>
      </c>
      <c r="P14" s="15"/>
    </row>
    <row r="15" spans="1:16" x14ac:dyDescent="0.2">
      <c r="A15" s="247" t="s">
        <v>158</v>
      </c>
      <c r="B15" s="13">
        <v>36.61</v>
      </c>
      <c r="C15" s="13">
        <v>36.99</v>
      </c>
      <c r="D15" s="13">
        <v>36.67</v>
      </c>
      <c r="E15" s="13">
        <v>42.4</v>
      </c>
      <c r="F15" s="13">
        <f>4.92+56.24+0.18</f>
        <v>61.34</v>
      </c>
      <c r="G15" s="13">
        <f>3.95+53.07+0.19</f>
        <v>57.21</v>
      </c>
      <c r="H15" s="13">
        <v>60.36</v>
      </c>
      <c r="I15" s="13">
        <v>78.08</v>
      </c>
      <c r="J15" s="13">
        <v>93.6</v>
      </c>
      <c r="K15" s="13">
        <v>176.24</v>
      </c>
      <c r="L15" s="13">
        <f>6.78+85.83+0.35</f>
        <v>92.96</v>
      </c>
      <c r="M15" s="13">
        <f>9.35+183.9+2.02</f>
        <v>195.27</v>
      </c>
      <c r="N15" s="13">
        <f>11.26+145.25+0.42+0.09</f>
        <v>157.01999999999998</v>
      </c>
      <c r="O15" s="13">
        <f>10.65+218.6+0.02+0.01</f>
        <v>229.28</v>
      </c>
      <c r="P15" s="15"/>
    </row>
    <row r="16" spans="1:16" x14ac:dyDescent="0.2">
      <c r="A16" s="247" t="s">
        <v>12</v>
      </c>
      <c r="B16" s="13">
        <v>10.5</v>
      </c>
      <c r="C16" s="13">
        <v>6.02</v>
      </c>
      <c r="D16" s="13">
        <v>9.18</v>
      </c>
      <c r="E16" s="13">
        <v>5.68</v>
      </c>
      <c r="F16" s="13">
        <v>10.19</v>
      </c>
      <c r="G16" s="13">
        <v>9.7100000000000009</v>
      </c>
      <c r="H16" s="13">
        <v>14.84</v>
      </c>
      <c r="I16" s="13">
        <v>20.73</v>
      </c>
      <c r="J16" s="13">
        <v>9.32</v>
      </c>
      <c r="K16" s="13">
        <v>11.68</v>
      </c>
      <c r="L16" s="13">
        <v>12.32</v>
      </c>
      <c r="M16" s="13">
        <v>28.58</v>
      </c>
      <c r="N16" s="13">
        <f>1.31+28.07</f>
        <v>29.38</v>
      </c>
      <c r="O16" s="13">
        <f>0.19+23.6</f>
        <v>23.790000000000003</v>
      </c>
      <c r="P16" s="15"/>
    </row>
    <row r="17" spans="1:64" x14ac:dyDescent="0.2">
      <c r="A17" s="247" t="s">
        <v>10</v>
      </c>
      <c r="B17" s="13">
        <v>76.209999999999994</v>
      </c>
      <c r="C17" s="13">
        <v>84.83</v>
      </c>
      <c r="D17" s="13">
        <v>113.85</v>
      </c>
      <c r="E17" s="13">
        <v>94.16</v>
      </c>
      <c r="F17" s="13">
        <v>150.97</v>
      </c>
      <c r="G17" s="13">
        <v>180.51</v>
      </c>
      <c r="H17" s="13">
        <v>190.08</v>
      </c>
      <c r="I17" s="13">
        <v>114.54</v>
      </c>
      <c r="J17" s="13">
        <v>98.81</v>
      </c>
      <c r="K17" s="13">
        <v>151.46</v>
      </c>
      <c r="L17" s="13">
        <v>153.16</v>
      </c>
      <c r="M17" s="13">
        <v>97.08</v>
      </c>
      <c r="N17" s="13">
        <v>87.75</v>
      </c>
      <c r="O17" s="13">
        <v>182.7</v>
      </c>
      <c r="P17" s="15"/>
    </row>
    <row r="18" spans="1:64" x14ac:dyDescent="0.2">
      <c r="A18" s="247" t="s">
        <v>16</v>
      </c>
      <c r="B18" s="13">
        <v>0</v>
      </c>
      <c r="C18" s="13">
        <v>0</v>
      </c>
      <c r="D18" s="13">
        <v>0</v>
      </c>
      <c r="E18" s="13">
        <v>0</v>
      </c>
      <c r="F18" s="13">
        <v>24.96</v>
      </c>
      <c r="G18" s="13">
        <v>29.97</v>
      </c>
      <c r="H18" s="13">
        <v>125</v>
      </c>
      <c r="I18" s="13">
        <v>12.157500000000027</v>
      </c>
      <c r="J18" s="13">
        <v>15.922500000000127</v>
      </c>
      <c r="K18" s="13">
        <v>15.5150000000001</v>
      </c>
      <c r="L18" s="13">
        <v>19.9350000000004</v>
      </c>
      <c r="M18" s="13">
        <v>17.200000000000728</v>
      </c>
      <c r="N18" s="13">
        <v>15.3449999999998</v>
      </c>
      <c r="O18" s="13">
        <v>13.635000000000218</v>
      </c>
      <c r="P18" s="15"/>
    </row>
    <row r="19" spans="1:64" x14ac:dyDescent="0.2">
      <c r="A19" s="10" t="s">
        <v>160</v>
      </c>
      <c r="B19" s="246">
        <f>B20+B21</f>
        <v>279.64</v>
      </c>
      <c r="C19" s="246">
        <f t="shared" ref="C19:O19" si="3">C20+C21</f>
        <v>361</v>
      </c>
      <c r="D19" s="246">
        <f t="shared" si="3"/>
        <v>326.15000000000003</v>
      </c>
      <c r="E19" s="246">
        <f t="shared" si="3"/>
        <v>343.94</v>
      </c>
      <c r="F19" s="246">
        <f t="shared" si="3"/>
        <v>304.66000000000003</v>
      </c>
      <c r="G19" s="246">
        <f t="shared" si="3"/>
        <v>293.19</v>
      </c>
      <c r="H19" s="246">
        <f t="shared" si="3"/>
        <v>351.76000000000005</v>
      </c>
      <c r="I19" s="246">
        <f t="shared" si="3"/>
        <v>379.99</v>
      </c>
      <c r="J19" s="246">
        <f t="shared" si="3"/>
        <v>434.14000000000004</v>
      </c>
      <c r="K19" s="246">
        <f t="shared" si="3"/>
        <v>429.45000000000005</v>
      </c>
      <c r="L19" s="246">
        <f t="shared" si="3"/>
        <v>727.41</v>
      </c>
      <c r="M19" s="246">
        <f t="shared" si="3"/>
        <v>804.9</v>
      </c>
      <c r="N19" s="246">
        <f t="shared" si="3"/>
        <v>786.71</v>
      </c>
      <c r="O19" s="246">
        <f t="shared" si="3"/>
        <v>788.86999999999989</v>
      </c>
      <c r="P19" s="15"/>
    </row>
    <row r="20" spans="1:64" s="22" customFormat="1" x14ac:dyDescent="0.2">
      <c r="A20" s="247" t="s">
        <v>18</v>
      </c>
      <c r="B20" s="13">
        <v>212.5264</v>
      </c>
      <c r="C20" s="13">
        <v>306.85000000000002</v>
      </c>
      <c r="D20" s="13">
        <v>290.27350000000001</v>
      </c>
      <c r="E20" s="13">
        <v>216.68219999999999</v>
      </c>
      <c r="F20" s="13">
        <v>271.1474</v>
      </c>
      <c r="G20" s="13">
        <v>216.9606</v>
      </c>
      <c r="H20" s="13">
        <v>253.26720000000003</v>
      </c>
      <c r="I20" s="13">
        <v>277.39269999999999</v>
      </c>
      <c r="J20" s="13">
        <v>230.0942</v>
      </c>
      <c r="K20" s="13">
        <v>283.43700000000001</v>
      </c>
      <c r="L20" s="13">
        <v>494.63879999999995</v>
      </c>
      <c r="M20" s="13">
        <v>724.41</v>
      </c>
      <c r="N20" s="13">
        <v>629.36800000000005</v>
      </c>
      <c r="O20" s="13">
        <v>520.65419999999995</v>
      </c>
      <c r="P20" s="243"/>
    </row>
    <row r="21" spans="1:64" s="22" customFormat="1" x14ac:dyDescent="0.2">
      <c r="A21" s="247" t="s">
        <v>159</v>
      </c>
      <c r="B21" s="13">
        <v>67.113599999999991</v>
      </c>
      <c r="C21" s="13">
        <v>54.15</v>
      </c>
      <c r="D21" s="13">
        <v>35.876500000000007</v>
      </c>
      <c r="E21" s="13">
        <v>127.2578</v>
      </c>
      <c r="F21" s="13">
        <v>33.512600000000006</v>
      </c>
      <c r="G21" s="13">
        <v>76.229399999999998</v>
      </c>
      <c r="H21" s="13">
        <v>98.492800000000017</v>
      </c>
      <c r="I21" s="13">
        <v>102.5973</v>
      </c>
      <c r="J21" s="13">
        <v>204.04580000000004</v>
      </c>
      <c r="K21" s="13">
        <v>146.01300000000003</v>
      </c>
      <c r="L21" s="13">
        <v>232.77119999999999</v>
      </c>
      <c r="M21" s="13">
        <v>80.490000000000009</v>
      </c>
      <c r="N21" s="13">
        <v>157.34200000000001</v>
      </c>
      <c r="O21" s="13">
        <v>268.2158</v>
      </c>
      <c r="P21" s="243"/>
    </row>
    <row r="22" spans="1:64" x14ac:dyDescent="0.2">
      <c r="A22" s="247" t="s">
        <v>17</v>
      </c>
      <c r="B22" s="13">
        <f>191.3+62+61.48</f>
        <v>314.78000000000003</v>
      </c>
      <c r="C22" s="13">
        <f>216.17+69.23+81.99</f>
        <v>367.39</v>
      </c>
      <c r="D22" s="13">
        <f>253.59+74.31+97.08</f>
        <v>424.97999999999996</v>
      </c>
      <c r="E22" s="13">
        <f>294.11+76.39+137.72+0.01</f>
        <v>508.23</v>
      </c>
      <c r="F22" s="13">
        <f>346.89+77.27+165.29</f>
        <v>589.44999999999993</v>
      </c>
      <c r="G22" s="13">
        <f>390.7+90.58+196.88</f>
        <v>678.16</v>
      </c>
      <c r="H22" s="13">
        <f>373.51+100.32+254.65</f>
        <v>728.48</v>
      </c>
      <c r="I22" s="13">
        <f>467.11+111.17+323.19</f>
        <v>901.47</v>
      </c>
      <c r="J22" s="13">
        <f>521.67+76.14+410.06</f>
        <v>1007.8699999999999</v>
      </c>
      <c r="K22" s="13">
        <f>530.04+80.73+430.37</f>
        <v>1041.1399999999999</v>
      </c>
      <c r="L22" s="13">
        <f>530.14+133.99+379.79</f>
        <v>1043.92</v>
      </c>
      <c r="M22" s="13">
        <f>606.25+120.81+401.67</f>
        <v>1128.73</v>
      </c>
      <c r="N22" s="13">
        <v>1327.59</v>
      </c>
      <c r="O22" s="13">
        <v>1513.36</v>
      </c>
      <c r="P22" s="15"/>
    </row>
    <row r="23" spans="1:64" x14ac:dyDescent="0.2">
      <c r="A23" s="247" t="s">
        <v>8</v>
      </c>
      <c r="B23" s="13">
        <v>7.42</v>
      </c>
      <c r="C23" s="13">
        <v>9.85</v>
      </c>
      <c r="D23" s="13">
        <v>9.69</v>
      </c>
      <c r="E23" s="13">
        <v>9.9</v>
      </c>
      <c r="F23" s="13">
        <v>13.47</v>
      </c>
      <c r="G23" s="13">
        <v>11.18</v>
      </c>
      <c r="H23" s="13">
        <v>13.67</v>
      </c>
      <c r="I23" s="13">
        <v>12.23</v>
      </c>
      <c r="J23" s="13">
        <v>10.210000000000001</v>
      </c>
      <c r="K23" s="13">
        <v>13.99</v>
      </c>
      <c r="L23" s="13">
        <v>20</v>
      </c>
      <c r="M23" s="13">
        <v>17.29</v>
      </c>
      <c r="N23" s="13">
        <v>16.059999999999999</v>
      </c>
      <c r="O23" s="13">
        <v>20.65</v>
      </c>
      <c r="P23" s="15"/>
    </row>
    <row r="24" spans="1:64" x14ac:dyDescent="0.2">
      <c r="A24" s="247" t="s">
        <v>7</v>
      </c>
      <c r="B24" s="13">
        <v>1.81</v>
      </c>
      <c r="C24" s="13">
        <v>0.56999999999999995</v>
      </c>
      <c r="D24" s="13">
        <v>0.61</v>
      </c>
      <c r="E24" s="13">
        <v>3.1</v>
      </c>
      <c r="F24" s="13">
        <v>3.62</v>
      </c>
      <c r="G24" s="13">
        <v>3.02</v>
      </c>
      <c r="H24" s="13">
        <v>13.51</v>
      </c>
      <c r="I24" s="13">
        <v>2.39</v>
      </c>
      <c r="J24" s="13">
        <v>1.38</v>
      </c>
      <c r="K24" s="13">
        <v>2.11</v>
      </c>
      <c r="L24" s="13">
        <v>1.44</v>
      </c>
      <c r="M24" s="13">
        <v>1.65</v>
      </c>
      <c r="N24" s="13">
        <v>0.3</v>
      </c>
      <c r="O24" s="13">
        <v>2.5499999999999998</v>
      </c>
      <c r="P24" s="15"/>
    </row>
    <row r="25" spans="1:64" x14ac:dyDescent="0.2">
      <c r="A25" s="247" t="s">
        <v>4</v>
      </c>
      <c r="B25" s="13">
        <v>7.08</v>
      </c>
      <c r="C25" s="13">
        <v>9.4600000000000009</v>
      </c>
      <c r="D25" s="13">
        <v>9.0299999999999994</v>
      </c>
      <c r="E25" s="13">
        <v>12.82</v>
      </c>
      <c r="F25" s="13">
        <v>15.11</v>
      </c>
      <c r="G25" s="13">
        <v>21.39</v>
      </c>
      <c r="H25" s="13">
        <v>19.440000000000001</v>
      </c>
      <c r="I25" s="13">
        <v>18.04</v>
      </c>
      <c r="J25" s="13">
        <v>20.79</v>
      </c>
      <c r="K25" s="13">
        <v>80.430000000000007</v>
      </c>
      <c r="L25" s="13">
        <v>75.05</v>
      </c>
      <c r="M25" s="13">
        <v>69.48</v>
      </c>
      <c r="N25" s="13">
        <v>95.94</v>
      </c>
      <c r="O25" s="13">
        <v>89.81</v>
      </c>
      <c r="P25" s="15"/>
    </row>
    <row r="26" spans="1:64" x14ac:dyDescent="0.2">
      <c r="A26" s="247" t="s">
        <v>19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5"/>
    </row>
    <row r="27" spans="1:64" ht="17" thickBot="1" x14ac:dyDescent="0.25">
      <c r="A27" s="247" t="s">
        <v>9</v>
      </c>
      <c r="B27" s="13">
        <v>12.4</v>
      </c>
      <c r="C27" s="13">
        <v>13.99</v>
      </c>
      <c r="D27" s="13">
        <v>22.61</v>
      </c>
      <c r="E27" s="13">
        <v>24.55</v>
      </c>
      <c r="F27" s="13">
        <v>18.04</v>
      </c>
      <c r="G27" s="13">
        <v>20.52</v>
      </c>
      <c r="H27" s="13">
        <v>19.78</v>
      </c>
      <c r="I27" s="13">
        <v>25.67</v>
      </c>
      <c r="J27" s="13">
        <v>25.7</v>
      </c>
      <c r="K27" s="13">
        <v>26.38</v>
      </c>
      <c r="L27" s="13">
        <v>104.79</v>
      </c>
      <c r="M27" s="13">
        <v>13.36</v>
      </c>
      <c r="N27" s="13">
        <v>46.25</v>
      </c>
      <c r="O27" s="13">
        <v>5.18</v>
      </c>
      <c r="P27" s="15"/>
    </row>
    <row r="28" spans="1:64" s="21" customFormat="1" ht="17" thickBot="1" x14ac:dyDescent="0.25">
      <c r="A28" s="241" t="s">
        <v>11</v>
      </c>
      <c r="B28" s="242">
        <f>SUM(B15:B27)-B19</f>
        <v>746.45000000000016</v>
      </c>
      <c r="C28" s="242">
        <f t="shared" ref="C28:O28" si="4">SUM(C15:C27)-C19</f>
        <v>890.09999999999991</v>
      </c>
      <c r="D28" s="242">
        <f t="shared" si="4"/>
        <v>952.76999999999975</v>
      </c>
      <c r="E28" s="242">
        <f t="shared" si="4"/>
        <v>1044.7799999999997</v>
      </c>
      <c r="F28" s="242">
        <f t="shared" si="4"/>
        <v>1191.8099999999997</v>
      </c>
      <c r="G28" s="242">
        <f t="shared" si="4"/>
        <v>1304.8600000000001</v>
      </c>
      <c r="H28" s="242">
        <f t="shared" si="4"/>
        <v>1536.9200000000003</v>
      </c>
      <c r="I28" s="242">
        <f t="shared" si="4"/>
        <v>1565.2975000000001</v>
      </c>
      <c r="J28" s="242">
        <f t="shared" si="4"/>
        <v>1717.7424999999996</v>
      </c>
      <c r="K28" s="242">
        <f t="shared" si="4"/>
        <v>1948.3949999999998</v>
      </c>
      <c r="L28" s="242">
        <f t="shared" si="4"/>
        <v>2250.9850000000006</v>
      </c>
      <c r="M28" s="242">
        <f t="shared" si="4"/>
        <v>2373.5400000000009</v>
      </c>
      <c r="N28" s="242">
        <f t="shared" si="4"/>
        <v>2562.3450000000003</v>
      </c>
      <c r="O28" s="242">
        <f t="shared" si="4"/>
        <v>2869.8250000000003</v>
      </c>
      <c r="P28" s="244"/>
      <c r="Q28" s="245"/>
      <c r="R28" s="245"/>
      <c r="S28" s="245"/>
      <c r="T28" s="245"/>
      <c r="U28" s="245"/>
      <c r="V28" s="245"/>
      <c r="W28" s="245"/>
      <c r="X28" s="245"/>
      <c r="Y28" s="245"/>
      <c r="Z28" s="245"/>
      <c r="AA28" s="245"/>
      <c r="AB28" s="245"/>
      <c r="AC28" s="245"/>
      <c r="AD28" s="245"/>
      <c r="AE28" s="245"/>
      <c r="AF28" s="245"/>
      <c r="AG28" s="245"/>
      <c r="AH28" s="245"/>
      <c r="AI28" s="245"/>
      <c r="AJ28" s="245"/>
      <c r="AK28" s="245"/>
      <c r="AL28" s="245"/>
      <c r="AM28" s="245"/>
      <c r="AN28" s="245"/>
      <c r="AO28" s="245"/>
      <c r="AP28" s="245"/>
      <c r="AQ28" s="245"/>
      <c r="AR28" s="245"/>
      <c r="AS28" s="245"/>
      <c r="AT28" s="245"/>
      <c r="AU28" s="245"/>
      <c r="AV28" s="245"/>
      <c r="AW28" s="245"/>
      <c r="AX28" s="245"/>
      <c r="AY28" s="245"/>
      <c r="AZ28" s="245"/>
      <c r="BA28" s="245"/>
      <c r="BB28" s="245"/>
      <c r="BC28" s="245"/>
      <c r="BD28" s="245"/>
      <c r="BE28" s="245"/>
      <c r="BF28" s="245"/>
      <c r="BG28" s="245"/>
      <c r="BH28" s="245"/>
      <c r="BI28" s="245"/>
      <c r="BJ28" s="245"/>
      <c r="BK28" s="245"/>
      <c r="BL28" s="245"/>
    </row>
    <row r="29" spans="1:64" x14ac:dyDescent="0.2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64" x14ac:dyDescent="0.2"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1"/>
    </row>
    <row r="31" spans="1:64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64" x14ac:dyDescent="0.2">
      <c r="B32" s="250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2:15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2:15" x14ac:dyDescent="0.2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2:15" x14ac:dyDescent="0.2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2:15" x14ac:dyDescent="0.2">
      <c r="B36" s="18"/>
    </row>
    <row r="37" spans="2:15" x14ac:dyDescent="0.2">
      <c r="B37" s="18"/>
      <c r="F37" s="18"/>
      <c r="I37"/>
      <c r="J37"/>
      <c r="K37" s="17"/>
    </row>
  </sheetData>
  <pageMargins left="0.7" right="0.7" top="0.75" bottom="0.75" header="0.3" footer="0.3"/>
  <pageSetup paperSize="9" scale="5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7"/>
  <sheetViews>
    <sheetView zoomScale="120" zoomScaleNormal="120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A10" sqref="A10"/>
    </sheetView>
  </sheetViews>
  <sheetFormatPr baseColWidth="10" defaultColWidth="9.1640625" defaultRowHeight="16" x14ac:dyDescent="0.2"/>
  <cols>
    <col min="1" max="1" width="49.1640625" style="1" bestFit="1" customWidth="1"/>
    <col min="2" max="2" width="18.83203125" style="1" bestFit="1" customWidth="1"/>
    <col min="3" max="13" width="17.83203125" style="1" bestFit="1" customWidth="1"/>
    <col min="14" max="15" width="18.5" style="1" bestFit="1" customWidth="1"/>
    <col min="16" max="16384" width="9.1640625" style="1"/>
  </cols>
  <sheetData>
    <row r="1" spans="1:15" x14ac:dyDescent="0.2">
      <c r="A1" s="7" t="s">
        <v>0</v>
      </c>
      <c r="B1" s="3">
        <v>41364</v>
      </c>
      <c r="C1" s="3">
        <v>41729</v>
      </c>
      <c r="D1" s="3">
        <v>42094</v>
      </c>
      <c r="E1" s="3">
        <v>42460</v>
      </c>
      <c r="F1" s="3">
        <v>42825</v>
      </c>
      <c r="G1" s="3">
        <v>43190</v>
      </c>
      <c r="H1" s="3">
        <v>43555</v>
      </c>
      <c r="I1" s="3">
        <v>43921</v>
      </c>
      <c r="J1" s="3">
        <v>44286</v>
      </c>
      <c r="K1" s="3">
        <v>44651</v>
      </c>
      <c r="L1" s="3">
        <v>45016</v>
      </c>
      <c r="M1" s="3">
        <v>45382</v>
      </c>
      <c r="N1" s="3">
        <v>45747</v>
      </c>
      <c r="O1" s="3">
        <v>46112</v>
      </c>
    </row>
    <row r="2" spans="1:15" s="5" customFormat="1" x14ac:dyDescent="0.2">
      <c r="A2" s="4" t="s">
        <v>146</v>
      </c>
      <c r="B2" s="16">
        <v>54.23</v>
      </c>
      <c r="C2" s="16">
        <v>67.48</v>
      </c>
      <c r="D2" s="23">
        <v>77.760000000000005</v>
      </c>
      <c r="E2" s="23">
        <v>88.37</v>
      </c>
      <c r="F2" s="16">
        <v>100.76</v>
      </c>
      <c r="G2" s="16">
        <v>108.14</v>
      </c>
      <c r="H2" s="16">
        <v>115.65</v>
      </c>
      <c r="I2" s="16">
        <v>120.2</v>
      </c>
      <c r="J2" s="16">
        <v>128.6</v>
      </c>
      <c r="K2" s="16">
        <v>140.03</v>
      </c>
      <c r="L2" s="16">
        <v>139.94</v>
      </c>
      <c r="M2" s="16">
        <v>144.11000000000001</v>
      </c>
      <c r="N2" s="16">
        <v>159.86000000000001</v>
      </c>
      <c r="O2" s="16">
        <v>193.78</v>
      </c>
    </row>
    <row r="3" spans="1:15" x14ac:dyDescent="0.2">
      <c r="A3" s="6" t="s">
        <v>147</v>
      </c>
      <c r="B3" s="16">
        <f>5.49+0.82</f>
        <v>6.3100000000000005</v>
      </c>
      <c r="C3" s="16">
        <f>6.32+2.5</f>
        <v>8.82</v>
      </c>
      <c r="D3" s="23">
        <f>7.83+6</f>
        <v>13.83</v>
      </c>
      <c r="E3" s="23">
        <f>13.02</f>
        <v>13.02</v>
      </c>
      <c r="F3" s="16">
        <v>15.37</v>
      </c>
      <c r="G3" s="16">
        <v>12.24</v>
      </c>
      <c r="H3" s="16">
        <v>12.55</v>
      </c>
      <c r="I3" s="16">
        <v>19</v>
      </c>
      <c r="J3" s="16">
        <v>16.43</v>
      </c>
      <c r="K3" s="16">
        <v>22.13</v>
      </c>
      <c r="L3" s="16">
        <v>31.44</v>
      </c>
      <c r="M3" s="16">
        <v>27.8</v>
      </c>
      <c r="N3" s="16">
        <v>28.54</v>
      </c>
      <c r="O3" s="16">
        <v>20.78</v>
      </c>
    </row>
    <row r="4" spans="1:15" s="12" customFormat="1" x14ac:dyDescent="0.2">
      <c r="A4" s="11" t="s">
        <v>6</v>
      </c>
      <c r="B4" s="14">
        <f t="shared" ref="B4:I4" si="0">B2+B3</f>
        <v>60.54</v>
      </c>
      <c r="C4" s="14">
        <f t="shared" si="0"/>
        <v>76.300000000000011</v>
      </c>
      <c r="D4" s="14">
        <f t="shared" si="0"/>
        <v>91.59</v>
      </c>
      <c r="E4" s="14">
        <f t="shared" si="0"/>
        <v>101.39</v>
      </c>
      <c r="F4" s="14">
        <f t="shared" si="0"/>
        <v>116.13000000000001</v>
      </c>
      <c r="G4" s="14">
        <f t="shared" si="0"/>
        <v>120.38</v>
      </c>
      <c r="H4" s="14">
        <f t="shared" si="0"/>
        <v>128.20000000000002</v>
      </c>
      <c r="I4" s="14">
        <f t="shared" si="0"/>
        <v>139.19999999999999</v>
      </c>
      <c r="J4" s="14">
        <f>J2+J3</f>
        <v>145.03</v>
      </c>
      <c r="K4" s="14">
        <f>K2+K3</f>
        <v>162.16</v>
      </c>
      <c r="L4" s="14">
        <f>L2+L3</f>
        <v>171.38</v>
      </c>
      <c r="M4" s="14">
        <f>M2+M3</f>
        <v>171.91000000000003</v>
      </c>
      <c r="N4" s="14">
        <f>+N2+N3</f>
        <v>188.4</v>
      </c>
      <c r="O4" s="14">
        <f>+O2+O3</f>
        <v>214.56</v>
      </c>
    </row>
    <row r="5" spans="1:15" x14ac:dyDescent="0.2">
      <c r="A5" s="6" t="s">
        <v>150</v>
      </c>
      <c r="B5" s="16">
        <v>31.58</v>
      </c>
      <c r="C5" s="16">
        <v>45.4</v>
      </c>
      <c r="D5" s="16">
        <v>54.19</v>
      </c>
      <c r="E5" s="16">
        <v>62.62</v>
      </c>
      <c r="F5" s="16">
        <v>71.069999999999993</v>
      </c>
      <c r="G5" s="16">
        <v>76.319999999999993</v>
      </c>
      <c r="H5" s="16">
        <v>82.74</v>
      </c>
      <c r="I5" s="16">
        <v>82.44</v>
      </c>
      <c r="J5" s="16">
        <v>86.51</v>
      </c>
      <c r="K5" s="16">
        <v>101.85</v>
      </c>
      <c r="L5" s="16">
        <v>108.52</v>
      </c>
      <c r="M5" s="16">
        <v>104.68</v>
      </c>
      <c r="N5" s="16">
        <v>109.37</v>
      </c>
      <c r="O5" s="16">
        <v>144.26</v>
      </c>
    </row>
    <row r="6" spans="1:15" x14ac:dyDescent="0.2">
      <c r="A6" s="6" t="s">
        <v>149</v>
      </c>
      <c r="B6" s="16">
        <f>10.41+4.17</f>
        <v>14.58</v>
      </c>
      <c r="C6" s="16">
        <f>11.15+4.66</f>
        <v>15.81</v>
      </c>
      <c r="D6" s="16">
        <f>14.06+4.65</f>
        <v>18.71</v>
      </c>
      <c r="E6" s="16">
        <f>15.53+5.66</f>
        <v>21.189999999999998</v>
      </c>
      <c r="F6" s="16">
        <f>16.02+6.31</f>
        <v>22.33</v>
      </c>
      <c r="G6" s="16">
        <f>16.3+7.22</f>
        <v>23.52</v>
      </c>
      <c r="H6" s="16">
        <f>17.27+6.81</f>
        <v>24.08</v>
      </c>
      <c r="I6" s="16">
        <f>19.42+7.72</f>
        <v>27.14</v>
      </c>
      <c r="J6" s="16">
        <f>20.86+7.5+0.4</f>
        <v>28.759999999999998</v>
      </c>
      <c r="K6" s="16">
        <v>29.84</v>
      </c>
      <c r="L6" s="16">
        <v>34.53</v>
      </c>
      <c r="M6" s="16">
        <f>33.9</f>
        <v>33.9</v>
      </c>
      <c r="N6" s="16">
        <f>29.68+12.67</f>
        <v>42.35</v>
      </c>
      <c r="O6" s="16">
        <f>27.96+11.48</f>
        <v>39.44</v>
      </c>
    </row>
    <row r="7" spans="1:15" x14ac:dyDescent="0.2">
      <c r="A7" s="6" t="s">
        <v>151</v>
      </c>
      <c r="B7" s="16">
        <v>2.42</v>
      </c>
      <c r="C7" s="16">
        <v>2.5299999999999998</v>
      </c>
      <c r="D7" s="16">
        <v>2.69</v>
      </c>
      <c r="E7" s="16">
        <v>2.79</v>
      </c>
      <c r="F7" s="16">
        <v>3.38</v>
      </c>
      <c r="G7" s="16">
        <v>5.0199999999999996</v>
      </c>
      <c r="H7" s="16">
        <v>5.64</v>
      </c>
      <c r="I7" s="16">
        <f>6.57+0.83</f>
        <v>7.4</v>
      </c>
      <c r="J7" s="16">
        <v>5.64</v>
      </c>
      <c r="K7" s="16">
        <v>6.41</v>
      </c>
      <c r="L7" s="16">
        <f>4.91+1.34+0.4</f>
        <v>6.65</v>
      </c>
      <c r="M7" s="16">
        <v>12.67</v>
      </c>
      <c r="N7" s="16">
        <f>7.27+0.08</f>
        <v>7.35</v>
      </c>
      <c r="O7" s="16">
        <f>4.9+0.01</f>
        <v>4.91</v>
      </c>
    </row>
    <row r="8" spans="1:15" s="12" customFormat="1" x14ac:dyDescent="0.2">
      <c r="A8" s="11" t="s">
        <v>152</v>
      </c>
      <c r="B8" s="14">
        <f>B6+B7</f>
        <v>17</v>
      </c>
      <c r="C8" s="14">
        <f t="shared" ref="C8:I8" si="1">C6+C7</f>
        <v>18.34</v>
      </c>
      <c r="D8" s="14">
        <f t="shared" si="1"/>
        <v>21.400000000000002</v>
      </c>
      <c r="E8" s="14">
        <f t="shared" si="1"/>
        <v>23.979999999999997</v>
      </c>
      <c r="F8" s="14">
        <f t="shared" si="1"/>
        <v>25.709999999999997</v>
      </c>
      <c r="G8" s="14">
        <f t="shared" si="1"/>
        <v>28.54</v>
      </c>
      <c r="H8" s="14">
        <f t="shared" si="1"/>
        <v>29.72</v>
      </c>
      <c r="I8" s="14">
        <f t="shared" si="1"/>
        <v>34.54</v>
      </c>
      <c r="J8" s="14">
        <f t="shared" ref="J8:O8" si="2">J6+J7</f>
        <v>34.4</v>
      </c>
      <c r="K8" s="14">
        <f t="shared" si="2"/>
        <v>36.25</v>
      </c>
      <c r="L8" s="14">
        <f>L6+L7</f>
        <v>41.18</v>
      </c>
      <c r="M8" s="14">
        <f t="shared" si="2"/>
        <v>46.57</v>
      </c>
      <c r="N8" s="14">
        <f t="shared" si="2"/>
        <v>49.7</v>
      </c>
      <c r="O8" s="14">
        <f t="shared" si="2"/>
        <v>44.349999999999994</v>
      </c>
    </row>
    <row r="9" spans="1:15" x14ac:dyDescent="0.2">
      <c r="A9" s="6" t="s">
        <v>153</v>
      </c>
      <c r="B9" s="16">
        <f>+B4-B8-B5</f>
        <v>11.96</v>
      </c>
      <c r="C9" s="16">
        <f>+C4-C8-C5</f>
        <v>12.560000000000009</v>
      </c>
      <c r="D9" s="16">
        <f t="shared" ref="D9:M9" si="3">+D4-D8-D5</f>
        <v>16</v>
      </c>
      <c r="E9" s="16">
        <f t="shared" si="3"/>
        <v>14.79</v>
      </c>
      <c r="F9" s="16">
        <f t="shared" si="3"/>
        <v>19.350000000000023</v>
      </c>
      <c r="G9" s="16">
        <f t="shared" si="3"/>
        <v>15.52000000000001</v>
      </c>
      <c r="H9" s="16">
        <f t="shared" si="3"/>
        <v>15.740000000000023</v>
      </c>
      <c r="I9" s="16">
        <f t="shared" si="3"/>
        <v>22.22</v>
      </c>
      <c r="J9" s="16">
        <f t="shared" si="3"/>
        <v>24.11999999999999</v>
      </c>
      <c r="K9" s="16">
        <f t="shared" si="3"/>
        <v>24.060000000000002</v>
      </c>
      <c r="L9" s="16">
        <f>+L4-L8-L5</f>
        <v>21.679999999999993</v>
      </c>
      <c r="M9" s="16">
        <f t="shared" si="3"/>
        <v>20.660000000000025</v>
      </c>
      <c r="N9" s="16">
        <f>+N4-N8-N5</f>
        <v>29.329999999999984</v>
      </c>
      <c r="O9" s="16">
        <f>+O4-O8-O5</f>
        <v>25.950000000000017</v>
      </c>
    </row>
    <row r="10" spans="1:15" x14ac:dyDescent="0.2">
      <c r="A10" s="6" t="s">
        <v>148</v>
      </c>
      <c r="B10" s="16">
        <f>6.62+0.82</f>
        <v>7.44</v>
      </c>
      <c r="C10" s="16">
        <v>7.89</v>
      </c>
      <c r="D10" s="16">
        <v>10.33</v>
      </c>
      <c r="E10" s="16">
        <v>8.85</v>
      </c>
      <c r="F10" s="16">
        <v>11.5</v>
      </c>
      <c r="G10" s="16">
        <v>8.32</v>
      </c>
      <c r="H10" s="16">
        <v>5.78</v>
      </c>
      <c r="I10" s="16">
        <v>11.97</v>
      </c>
      <c r="J10" s="16">
        <v>12.09</v>
      </c>
      <c r="K10" s="16">
        <v>9.7200000000000006</v>
      </c>
      <c r="L10" s="16">
        <v>9.26</v>
      </c>
      <c r="M10" s="16">
        <v>7.86</v>
      </c>
      <c r="N10" s="16">
        <v>15.79</v>
      </c>
      <c r="O10" s="16">
        <f>7.53</f>
        <v>7.53</v>
      </c>
    </row>
    <row r="11" spans="1:15" s="12" customFormat="1" x14ac:dyDescent="0.2">
      <c r="A11" s="11" t="s">
        <v>13</v>
      </c>
      <c r="B11" s="14">
        <f>B9-B10</f>
        <v>4.5200000000000005</v>
      </c>
      <c r="C11" s="14">
        <f t="shared" ref="C11:I11" si="4">C9-C10</f>
        <v>4.6700000000000097</v>
      </c>
      <c r="D11" s="14">
        <f t="shared" si="4"/>
        <v>5.67</v>
      </c>
      <c r="E11" s="14">
        <f t="shared" si="4"/>
        <v>5.9399999999999995</v>
      </c>
      <c r="F11" s="14">
        <f t="shared" si="4"/>
        <v>7.8500000000000227</v>
      </c>
      <c r="G11" s="14">
        <f t="shared" si="4"/>
        <v>7.2000000000000099</v>
      </c>
      <c r="H11" s="14">
        <f t="shared" si="4"/>
        <v>9.9600000000000222</v>
      </c>
      <c r="I11" s="14">
        <f t="shared" si="4"/>
        <v>10.249999999999998</v>
      </c>
      <c r="J11" s="14">
        <f>J9-J10</f>
        <v>12.02999999999999</v>
      </c>
      <c r="K11" s="14">
        <f>K9-K10</f>
        <v>14.340000000000002</v>
      </c>
      <c r="L11" s="14">
        <f>L9-L10</f>
        <v>12.419999999999993</v>
      </c>
      <c r="M11" s="14">
        <f>M9-M10</f>
        <v>12.800000000000026</v>
      </c>
      <c r="N11" s="14">
        <f>+N9-N10</f>
        <v>13.539999999999985</v>
      </c>
      <c r="O11" s="14">
        <f>+O9-O10</f>
        <v>18.420000000000016</v>
      </c>
    </row>
    <row r="12" spans="1:15" x14ac:dyDescent="0.2"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x14ac:dyDescent="0.2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x14ac:dyDescent="0.2"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15" x14ac:dyDescent="0.2"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">
      <c r="C16" s="20"/>
      <c r="D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3:15" x14ac:dyDescent="0.2">
      <c r="C17" s="20"/>
      <c r="D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</sheetData>
  <phoneticPr fontId="1" type="noConversion"/>
  <pageMargins left="0.7" right="0.7" top="0.75" bottom="0.75" header="0.3" footer="0.3"/>
  <pageSetup paperSize="9" scale="77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BC2FB-54E2-184E-AC24-722978165530}">
  <dimension ref="A1:O172"/>
  <sheetViews>
    <sheetView topLeftCell="A31" zoomScale="150" zoomScaleNormal="150" workbookViewId="0">
      <selection activeCell="D50" sqref="D50"/>
    </sheetView>
  </sheetViews>
  <sheetFormatPr baseColWidth="10" defaultColWidth="8.5" defaultRowHeight="15" x14ac:dyDescent="0.2"/>
  <cols>
    <col min="1" max="1" width="41.83203125" style="26" customWidth="1"/>
    <col min="2" max="2" width="10.1640625" style="26" customWidth="1"/>
    <col min="3" max="12" width="9.83203125" style="26" customWidth="1"/>
    <col min="13" max="15" width="9.1640625" style="26" customWidth="1"/>
    <col min="16" max="16384" width="8.5" style="26"/>
  </cols>
  <sheetData>
    <row r="1" spans="1:15" ht="20" thickBot="1" x14ac:dyDescent="0.3">
      <c r="A1" s="24" t="s">
        <v>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5" ht="32" x14ac:dyDescent="0.2">
      <c r="A2" s="27" t="s">
        <v>22</v>
      </c>
      <c r="B2" s="28" t="s">
        <v>23</v>
      </c>
      <c r="C2" s="29" t="s">
        <v>24</v>
      </c>
      <c r="D2" s="29" t="s">
        <v>25</v>
      </c>
      <c r="E2" s="29" t="s">
        <v>26</v>
      </c>
      <c r="F2" s="29" t="s">
        <v>27</v>
      </c>
      <c r="G2" s="29" t="s">
        <v>28</v>
      </c>
      <c r="H2" s="29" t="s">
        <v>29</v>
      </c>
      <c r="I2" s="29" t="s">
        <v>30</v>
      </c>
      <c r="J2" s="29" t="s">
        <v>31</v>
      </c>
      <c r="K2" s="29" t="s">
        <v>32</v>
      </c>
      <c r="L2" s="29" t="s">
        <v>33</v>
      </c>
      <c r="M2" s="30" t="s">
        <v>34</v>
      </c>
      <c r="N2" s="31" t="s">
        <v>35</v>
      </c>
      <c r="O2" s="32" t="s">
        <v>36</v>
      </c>
    </row>
    <row r="3" spans="1:15" ht="16" thickBot="1" x14ac:dyDescent="0.25">
      <c r="A3" s="33" t="s">
        <v>37</v>
      </c>
      <c r="B3" s="34"/>
      <c r="C3" s="35">
        <v>1</v>
      </c>
      <c r="D3" s="35">
        <v>2</v>
      </c>
      <c r="E3" s="35">
        <v>3</v>
      </c>
      <c r="F3" s="35">
        <v>4</v>
      </c>
      <c r="G3" s="35">
        <v>5</v>
      </c>
      <c r="H3" s="35">
        <v>6</v>
      </c>
      <c r="I3" s="35">
        <v>7</v>
      </c>
      <c r="J3" s="35">
        <v>8</v>
      </c>
      <c r="K3" s="35">
        <v>9</v>
      </c>
      <c r="L3" s="35">
        <v>10</v>
      </c>
      <c r="M3" s="36" t="s">
        <v>38</v>
      </c>
      <c r="N3" s="35" t="s">
        <v>39</v>
      </c>
      <c r="O3" s="37" t="s">
        <v>40</v>
      </c>
    </row>
    <row r="4" spans="1:15" x14ac:dyDescent="0.2">
      <c r="A4" s="38" t="s">
        <v>41</v>
      </c>
      <c r="B4" s="39"/>
      <c r="C4" s="40"/>
      <c r="D4" s="41"/>
      <c r="E4" s="41"/>
      <c r="F4" s="41"/>
      <c r="G4" s="41"/>
      <c r="H4" s="41"/>
      <c r="I4" s="41"/>
      <c r="J4" s="41"/>
      <c r="K4" s="41"/>
      <c r="L4" s="41"/>
      <c r="M4" s="42"/>
      <c r="N4" s="41"/>
      <c r="O4" s="43"/>
    </row>
    <row r="5" spans="1:15" ht="15.75" customHeight="1" thickBot="1" x14ac:dyDescent="0.25">
      <c r="A5" s="44" t="s">
        <v>42</v>
      </c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  <c r="M5" s="47"/>
      <c r="N5" s="48"/>
      <c r="O5" s="49"/>
    </row>
    <row r="6" spans="1:15" ht="16" x14ac:dyDescent="0.2">
      <c r="A6" s="50" t="s">
        <v>43</v>
      </c>
      <c r="B6" s="51">
        <f t="shared" ref="B6:B11" si="0">SUM(C6:L6)</f>
        <v>4470880.342282299</v>
      </c>
      <c r="C6" s="52">
        <v>1128876.6985259999</v>
      </c>
      <c r="D6" s="52">
        <v>856762</v>
      </c>
      <c r="E6" s="52">
        <v>686056</v>
      </c>
      <c r="F6" s="52">
        <v>668423.61617399997</v>
      </c>
      <c r="G6" s="52">
        <v>403225</v>
      </c>
      <c r="H6" s="52">
        <v>241385.5</v>
      </c>
      <c r="I6" s="52">
        <v>210845.5534725</v>
      </c>
      <c r="J6" s="52">
        <v>86622.051774799998</v>
      </c>
      <c r="K6" s="52">
        <v>108747.922335</v>
      </c>
      <c r="L6" s="52">
        <v>79936</v>
      </c>
      <c r="M6" s="53">
        <f t="shared" ref="M6:M17" si="1">SUM(C6:D6)</f>
        <v>1985638.6985259999</v>
      </c>
      <c r="N6" s="54">
        <f>SUM(E6:G6)</f>
        <v>1757704.6161739998</v>
      </c>
      <c r="O6" s="55">
        <f>SUM(H6:L6)</f>
        <v>727537.02758230001</v>
      </c>
    </row>
    <row r="7" spans="1:15" ht="16" x14ac:dyDescent="0.2">
      <c r="A7" s="56" t="s">
        <v>44</v>
      </c>
      <c r="B7" s="51">
        <f t="shared" si="0"/>
        <v>582419.64999999991</v>
      </c>
      <c r="C7" s="54">
        <v>147541.54999999999</v>
      </c>
      <c r="D7" s="54">
        <v>119957.65</v>
      </c>
      <c r="E7" s="54">
        <v>103100.95</v>
      </c>
      <c r="F7" s="54">
        <v>71262.05</v>
      </c>
      <c r="G7" s="54">
        <v>63716.9</v>
      </c>
      <c r="H7" s="54">
        <v>21706.25</v>
      </c>
      <c r="I7" s="54">
        <v>28724.7</v>
      </c>
      <c r="J7" s="54">
        <v>8704.35</v>
      </c>
      <c r="K7" s="54">
        <v>12606.3</v>
      </c>
      <c r="L7" s="54">
        <v>5098.95</v>
      </c>
      <c r="M7" s="53">
        <f t="shared" si="1"/>
        <v>267499.19999999995</v>
      </c>
      <c r="N7" s="54">
        <f t="shared" ref="N7:N17" si="2">SUM(E7:H7)</f>
        <v>259786.15</v>
      </c>
      <c r="O7" s="55">
        <f t="shared" ref="O7:O17" si="3">SUM(I7:L7)</f>
        <v>55134.3</v>
      </c>
    </row>
    <row r="8" spans="1:15" ht="16" x14ac:dyDescent="0.2">
      <c r="A8" s="56" t="s">
        <v>45</v>
      </c>
      <c r="B8" s="51">
        <f t="shared" si="0"/>
        <v>2847221.9582271469</v>
      </c>
      <c r="C8" s="52">
        <v>726235</v>
      </c>
      <c r="D8" s="52">
        <v>499356</v>
      </c>
      <c r="E8" s="52">
        <v>397111.07035200001</v>
      </c>
      <c r="F8" s="52">
        <v>433594</v>
      </c>
      <c r="G8" s="52">
        <v>205056.75367900002</v>
      </c>
      <c r="H8" s="52">
        <v>216131.927604</v>
      </c>
      <c r="I8" s="52">
        <v>148677.17152899998</v>
      </c>
      <c r="J8" s="52">
        <v>64842.048043146795</v>
      </c>
      <c r="K8" s="52">
        <v>89005.839022</v>
      </c>
      <c r="L8" s="52">
        <f>17212.147998+50000</f>
        <v>67212.147998</v>
      </c>
      <c r="M8" s="53">
        <f t="shared" si="1"/>
        <v>1225591</v>
      </c>
      <c r="N8" s="54">
        <f t="shared" si="2"/>
        <v>1251893.7516350001</v>
      </c>
      <c r="O8" s="55">
        <f t="shared" si="3"/>
        <v>369737.20659214677</v>
      </c>
    </row>
    <row r="9" spans="1:15" ht="16" x14ac:dyDescent="0.2">
      <c r="A9" s="57" t="s">
        <v>46</v>
      </c>
      <c r="B9" s="51">
        <f t="shared" si="0"/>
        <v>62809.718618999992</v>
      </c>
      <c r="C9" s="58">
        <v>16674</v>
      </c>
      <c r="D9" s="58">
        <v>10605.894425</v>
      </c>
      <c r="E9" s="58">
        <v>9043.1085899999998</v>
      </c>
      <c r="F9" s="58">
        <v>8317</v>
      </c>
      <c r="G9" s="58">
        <v>3688</v>
      </c>
      <c r="H9" s="58">
        <v>5369</v>
      </c>
      <c r="I9" s="58">
        <v>4249.7415609999989</v>
      </c>
      <c r="J9" s="58">
        <v>1360.38546</v>
      </c>
      <c r="K9" s="58">
        <v>1834.588583</v>
      </c>
      <c r="L9" s="58">
        <v>1668</v>
      </c>
      <c r="M9" s="53">
        <f t="shared" si="1"/>
        <v>27279.894424999999</v>
      </c>
      <c r="N9" s="54">
        <f t="shared" si="2"/>
        <v>26417.10859</v>
      </c>
      <c r="O9" s="55">
        <f t="shared" si="3"/>
        <v>9112.7156039999973</v>
      </c>
    </row>
    <row r="10" spans="1:15" ht="16" x14ac:dyDescent="0.2">
      <c r="A10" s="56" t="s">
        <v>47</v>
      </c>
      <c r="B10" s="51">
        <f t="shared" si="0"/>
        <v>53538.297793944039</v>
      </c>
      <c r="C10" s="54">
        <v>8200.7999999999993</v>
      </c>
      <c r="D10" s="54">
        <v>7677.9</v>
      </c>
      <c r="E10" s="54">
        <v>4866.6211056000002</v>
      </c>
      <c r="F10" s="54">
        <v>4129.2</v>
      </c>
      <c r="G10" s="54">
        <v>3666.8261037000002</v>
      </c>
      <c r="H10" s="54">
        <v>21479.142083200004</v>
      </c>
      <c r="I10" s="54">
        <v>1443.6514586999997</v>
      </c>
      <c r="J10" s="59">
        <v>536.48439214403993</v>
      </c>
      <c r="K10" s="60">
        <v>724.83821159999991</v>
      </c>
      <c r="L10" s="61">
        <v>812.83443900000009</v>
      </c>
      <c r="M10" s="53">
        <f t="shared" si="1"/>
        <v>15878.699999999999</v>
      </c>
      <c r="N10" s="54">
        <f t="shared" si="2"/>
        <v>34141.789292500005</v>
      </c>
      <c r="O10" s="55">
        <f t="shared" si="3"/>
        <v>3517.8085014440398</v>
      </c>
    </row>
    <row r="11" spans="1:15" ht="16" x14ac:dyDescent="0.2">
      <c r="A11" s="56" t="s">
        <v>48</v>
      </c>
      <c r="B11" s="51">
        <f t="shared" si="0"/>
        <v>2793683.660433203</v>
      </c>
      <c r="C11" s="52">
        <f>C8-C10</f>
        <v>718034.2</v>
      </c>
      <c r="D11" s="52">
        <f t="shared" ref="D11:L11" si="4">D8-D10</f>
        <v>491678.1</v>
      </c>
      <c r="E11" s="52">
        <f t="shared" si="4"/>
        <v>392244.44924640004</v>
      </c>
      <c r="F11" s="52">
        <f t="shared" si="4"/>
        <v>429464.8</v>
      </c>
      <c r="G11" s="52">
        <f t="shared" si="4"/>
        <v>201389.92757530001</v>
      </c>
      <c r="H11" s="52">
        <f t="shared" si="4"/>
        <v>194652.78552079998</v>
      </c>
      <c r="I11" s="52">
        <f t="shared" si="4"/>
        <v>147233.52007029997</v>
      </c>
      <c r="J11" s="52">
        <f t="shared" si="4"/>
        <v>64305.563651002754</v>
      </c>
      <c r="K11" s="52">
        <f t="shared" si="4"/>
        <v>88281.000810400001</v>
      </c>
      <c r="L11" s="52">
        <f t="shared" si="4"/>
        <v>66399.313559000002</v>
      </c>
      <c r="M11" s="53">
        <f t="shared" si="1"/>
        <v>1209712.2999999998</v>
      </c>
      <c r="N11" s="54">
        <f t="shared" si="2"/>
        <v>1217751.9623425</v>
      </c>
      <c r="O11" s="55">
        <f t="shared" si="3"/>
        <v>366219.39809070271</v>
      </c>
    </row>
    <row r="12" spans="1:15" ht="16" x14ac:dyDescent="0.2">
      <c r="A12" s="56" t="s">
        <v>49</v>
      </c>
      <c r="B12" s="51">
        <f>SUM(C12:L12)</f>
        <v>734074.10004581977</v>
      </c>
      <c r="C12" s="52">
        <f>C13+C14</f>
        <v>191693.5</v>
      </c>
      <c r="D12" s="52">
        <f t="shared" ref="D12:L12" si="5">D13+D14</f>
        <v>199337.30762450001</v>
      </c>
      <c r="E12" s="52">
        <f t="shared" si="5"/>
        <v>85087</v>
      </c>
      <c r="F12" s="52">
        <f t="shared" si="5"/>
        <v>119493</v>
      </c>
      <c r="G12" s="52">
        <f t="shared" si="5"/>
        <v>76818.5</v>
      </c>
      <c r="H12" s="52">
        <f t="shared" si="5"/>
        <v>14969.5</v>
      </c>
      <c r="I12" s="52">
        <f t="shared" si="5"/>
        <v>20652.4465275</v>
      </c>
      <c r="J12" s="52">
        <f t="shared" si="5"/>
        <v>12678.977682799998</v>
      </c>
      <c r="K12" s="52">
        <f t="shared" si="5"/>
        <v>5156.7788540000001</v>
      </c>
      <c r="L12" s="52">
        <f t="shared" si="5"/>
        <v>8187.0893570196004</v>
      </c>
      <c r="M12" s="53">
        <f t="shared" si="1"/>
        <v>391030.80762450001</v>
      </c>
      <c r="N12" s="54">
        <f t="shared" si="2"/>
        <v>296368</v>
      </c>
      <c r="O12" s="55">
        <f t="shared" si="3"/>
        <v>46675.292421319602</v>
      </c>
    </row>
    <row r="13" spans="1:15" ht="16" x14ac:dyDescent="0.2">
      <c r="A13" s="57" t="s">
        <v>50</v>
      </c>
      <c r="B13" s="51">
        <f t="shared" ref="B13:B18" si="6">SUM(C13:L13)</f>
        <v>145755.20099778351</v>
      </c>
      <c r="C13" s="52">
        <v>24944.626702558129</v>
      </c>
      <c r="D13" s="52">
        <v>49160.273419115503</v>
      </c>
      <c r="E13" s="52">
        <v>18873.202422774786</v>
      </c>
      <c r="F13" s="52">
        <v>16846.418464947783</v>
      </c>
      <c r="G13" s="52">
        <v>23318.174522416532</v>
      </c>
      <c r="H13" s="52">
        <v>2845.3839087373012</v>
      </c>
      <c r="I13" s="52">
        <v>4567.1165597280997</v>
      </c>
      <c r="J13" s="52">
        <v>3715.1242313227158</v>
      </c>
      <c r="K13" s="52">
        <v>550.38076618264006</v>
      </c>
      <c r="L13" s="52">
        <v>934.5</v>
      </c>
      <c r="M13" s="53">
        <f t="shared" si="1"/>
        <v>74104.900121673636</v>
      </c>
      <c r="N13" s="54">
        <f t="shared" si="2"/>
        <v>61883.179318876406</v>
      </c>
      <c r="O13" s="55">
        <f t="shared" si="3"/>
        <v>9767.121557233455</v>
      </c>
    </row>
    <row r="14" spans="1:15" ht="16" x14ac:dyDescent="0.2">
      <c r="A14" s="57" t="s">
        <v>51</v>
      </c>
      <c r="B14" s="51">
        <f t="shared" si="6"/>
        <v>588318.89904803608</v>
      </c>
      <c r="C14" s="52">
        <f>C15+C16</f>
        <v>166748.87329744187</v>
      </c>
      <c r="D14" s="52">
        <f t="shared" ref="D14:L14" si="7">D15+D16</f>
        <v>150177.03420538449</v>
      </c>
      <c r="E14" s="52">
        <f t="shared" si="7"/>
        <v>66213.79757722521</v>
      </c>
      <c r="F14" s="52">
        <f t="shared" si="7"/>
        <v>102646.58153505222</v>
      </c>
      <c r="G14" s="52">
        <f t="shared" si="7"/>
        <v>53500.325477583465</v>
      </c>
      <c r="H14" s="52">
        <f t="shared" si="7"/>
        <v>12124.116091262698</v>
      </c>
      <c r="I14" s="52">
        <f t="shared" si="7"/>
        <v>16085.329967771901</v>
      </c>
      <c r="J14" s="52">
        <f t="shared" si="7"/>
        <v>8963.8534514772819</v>
      </c>
      <c r="K14" s="52">
        <f t="shared" si="7"/>
        <v>4606.3980878173597</v>
      </c>
      <c r="L14" s="52">
        <f t="shared" si="7"/>
        <v>7252.5893570196004</v>
      </c>
      <c r="M14" s="53">
        <f t="shared" si="1"/>
        <v>316925.90750282636</v>
      </c>
      <c r="N14" s="54">
        <f t="shared" si="2"/>
        <v>234484.82068112356</v>
      </c>
      <c r="O14" s="55">
        <f t="shared" si="3"/>
        <v>36908.17086408614</v>
      </c>
    </row>
    <row r="15" spans="1:15" ht="16" x14ac:dyDescent="0.2">
      <c r="A15" s="62" t="s">
        <v>52</v>
      </c>
      <c r="B15" s="51">
        <f t="shared" si="6"/>
        <v>411067.60268137074</v>
      </c>
      <c r="C15" s="52">
        <v>107964.28034003328</v>
      </c>
      <c r="D15" s="52">
        <v>117500.20357551485</v>
      </c>
      <c r="E15" s="52">
        <v>52252.155182294235</v>
      </c>
      <c r="F15" s="52">
        <v>70213.376185001121</v>
      </c>
      <c r="G15" s="52">
        <v>35041.797565207999</v>
      </c>
      <c r="H15" s="52">
        <v>6740.3088765923494</v>
      </c>
      <c r="I15" s="52">
        <v>7334.8304326555344</v>
      </c>
      <c r="J15" s="52">
        <v>6523.3486086441044</v>
      </c>
      <c r="K15" s="52">
        <v>3667.0571418016571</v>
      </c>
      <c r="L15" s="52">
        <v>3830.2447736256509</v>
      </c>
      <c r="M15" s="53">
        <f t="shared" si="1"/>
        <v>225464.48391554813</v>
      </c>
      <c r="N15" s="54">
        <f t="shared" si="2"/>
        <v>164247.6378090957</v>
      </c>
      <c r="O15" s="55">
        <f t="shared" si="3"/>
        <v>21355.480956726948</v>
      </c>
    </row>
    <row r="16" spans="1:15" ht="16" x14ac:dyDescent="0.2">
      <c r="A16" s="62" t="s">
        <v>53</v>
      </c>
      <c r="B16" s="51">
        <f t="shared" si="6"/>
        <v>177251.29636666534</v>
      </c>
      <c r="C16" s="54">
        <v>58784.592957408589</v>
      </c>
      <c r="D16" s="54">
        <v>32676.830629869652</v>
      </c>
      <c r="E16" s="54">
        <v>13961.642394930976</v>
      </c>
      <c r="F16" s="54">
        <v>32433.205350051096</v>
      </c>
      <c r="G16" s="54">
        <v>18458.527912375466</v>
      </c>
      <c r="H16" s="54">
        <v>5383.8072146703489</v>
      </c>
      <c r="I16" s="54">
        <v>8750.499535116367</v>
      </c>
      <c r="J16" s="54">
        <v>2440.5048428331775</v>
      </c>
      <c r="K16" s="54">
        <v>939.34094601570268</v>
      </c>
      <c r="L16" s="52">
        <v>3422.3445833939495</v>
      </c>
      <c r="M16" s="53">
        <f t="shared" si="1"/>
        <v>91461.423587278245</v>
      </c>
      <c r="N16" s="54">
        <f t="shared" si="2"/>
        <v>70237.182872027886</v>
      </c>
      <c r="O16" s="55">
        <f t="shared" si="3"/>
        <v>15552.689907359198</v>
      </c>
    </row>
    <row r="17" spans="1:15" x14ac:dyDescent="0.2">
      <c r="A17" s="63" t="s">
        <v>54</v>
      </c>
      <c r="B17" s="51">
        <f t="shared" si="6"/>
        <v>237229</v>
      </c>
      <c r="C17" s="54">
        <v>63358</v>
      </c>
      <c r="D17" s="54">
        <v>23176</v>
      </c>
      <c r="E17" s="54">
        <v>73678</v>
      </c>
      <c r="F17" s="54">
        <v>14854</v>
      </c>
      <c r="G17" s="54">
        <v>49769</v>
      </c>
      <c r="H17" s="54">
        <v>9526</v>
      </c>
      <c r="I17" s="54">
        <v>2868</v>
      </c>
      <c r="J17" s="54">
        <v>0</v>
      </c>
      <c r="K17" s="54">
        <v>0</v>
      </c>
      <c r="L17" s="52">
        <v>0</v>
      </c>
      <c r="M17" s="53">
        <f t="shared" si="1"/>
        <v>86534</v>
      </c>
      <c r="N17" s="54">
        <f t="shared" si="2"/>
        <v>147827</v>
      </c>
      <c r="O17" s="55">
        <f t="shared" si="3"/>
        <v>2868</v>
      </c>
    </row>
    <row r="18" spans="1:15" ht="16" x14ac:dyDescent="0.2">
      <c r="A18" s="56" t="s">
        <v>55</v>
      </c>
      <c r="B18" s="51">
        <f t="shared" si="6"/>
        <v>123473.93180327746</v>
      </c>
      <c r="C18" s="54">
        <f t="shared" ref="C18:K18" si="8">C6-C7-C11-C12-C17</f>
        <v>8249.4485259999055</v>
      </c>
      <c r="D18" s="54">
        <f t="shared" si="8"/>
        <v>22612.942375499988</v>
      </c>
      <c r="E18" s="54">
        <f t="shared" si="8"/>
        <v>31945.600753600011</v>
      </c>
      <c r="F18" s="54">
        <f t="shared" si="8"/>
        <v>33349.766173999931</v>
      </c>
      <c r="G18" s="54">
        <f t="shared" si="8"/>
        <v>11530.672424699966</v>
      </c>
      <c r="H18" s="54">
        <f t="shared" si="8"/>
        <v>530.9644792000181</v>
      </c>
      <c r="I18" s="54">
        <f t="shared" si="8"/>
        <v>11366.88687470002</v>
      </c>
      <c r="J18" s="54">
        <f t="shared" si="8"/>
        <v>933.16044099724058</v>
      </c>
      <c r="K18" s="54">
        <f t="shared" si="8"/>
        <v>2703.8426705999918</v>
      </c>
      <c r="L18" s="52">
        <f>L6-L7-L11-L12-L17</f>
        <v>250.64708398040057</v>
      </c>
      <c r="M18" s="53">
        <f t="shared" ref="M18:O18" si="9">M6-M7-M11-M12-M17</f>
        <v>30862.390901500126</v>
      </c>
      <c r="N18" s="54">
        <f t="shared" si="9"/>
        <v>-164028.49616850005</v>
      </c>
      <c r="O18" s="55">
        <f t="shared" si="9"/>
        <v>256640.03707027764</v>
      </c>
    </row>
    <row r="19" spans="1:15" ht="17.25" customHeight="1" x14ac:dyDescent="0.2">
      <c r="A19" s="56"/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53"/>
      <c r="N19" s="54"/>
      <c r="O19" s="55"/>
    </row>
    <row r="20" spans="1:15" ht="16" x14ac:dyDescent="0.2">
      <c r="A20" s="50" t="s">
        <v>56</v>
      </c>
      <c r="B20" s="51">
        <f>SUM(C20:L20)</f>
        <v>4470880.342282299</v>
      </c>
      <c r="C20" s="52">
        <f>C6</f>
        <v>1128876.6985259999</v>
      </c>
      <c r="D20" s="52">
        <f t="shared" ref="D20:L20" si="10">D6</f>
        <v>856762</v>
      </c>
      <c r="E20" s="52">
        <f t="shared" si="10"/>
        <v>686056</v>
      </c>
      <c r="F20" s="52">
        <f t="shared" si="10"/>
        <v>668423.61617399997</v>
      </c>
      <c r="G20" s="52">
        <f t="shared" si="10"/>
        <v>403225</v>
      </c>
      <c r="H20" s="52">
        <f t="shared" si="10"/>
        <v>241385.5</v>
      </c>
      <c r="I20" s="52">
        <f t="shared" si="10"/>
        <v>210845.5534725</v>
      </c>
      <c r="J20" s="52">
        <f t="shared" si="10"/>
        <v>86622.051774799998</v>
      </c>
      <c r="K20" s="52">
        <f t="shared" si="10"/>
        <v>108747.922335</v>
      </c>
      <c r="L20" s="52">
        <f t="shared" si="10"/>
        <v>79936</v>
      </c>
      <c r="M20" s="53">
        <f t="shared" ref="M20:M28" si="11">SUM(C20:D20)</f>
        <v>1985638.6985259999</v>
      </c>
      <c r="N20" s="54">
        <f t="shared" ref="N20:N28" si="12">SUM(E20:G20)</f>
        <v>1757704.6161739998</v>
      </c>
      <c r="O20" s="55">
        <f t="shared" ref="O20:O28" si="13">SUM(H20:L20)</f>
        <v>727537.02758230001</v>
      </c>
    </row>
    <row r="21" spans="1:15" ht="16" x14ac:dyDescent="0.2">
      <c r="A21" s="57" t="s">
        <v>57</v>
      </c>
      <c r="B21" s="51">
        <f>SUM(C21:L21)</f>
        <v>1646066.8884976553</v>
      </c>
      <c r="C21" s="66">
        <v>433427.99596323655</v>
      </c>
      <c r="D21" s="66">
        <v>357133.08391432348</v>
      </c>
      <c r="E21" s="66">
        <v>215495.50221097071</v>
      </c>
      <c r="F21" s="66">
        <v>216579.44563602001</v>
      </c>
      <c r="G21" s="66">
        <v>140777.34163666688</v>
      </c>
      <c r="H21" s="66">
        <v>61512.319082912371</v>
      </c>
      <c r="I21" s="66">
        <v>77045.262121153122</v>
      </c>
      <c r="J21" s="66">
        <v>38213.543838256126</v>
      </c>
      <c r="K21" s="66">
        <v>48980.37219987272</v>
      </c>
      <c r="L21" s="66">
        <v>56902.021894243517</v>
      </c>
      <c r="M21" s="53">
        <f t="shared" si="11"/>
        <v>790561.07987756003</v>
      </c>
      <c r="N21" s="54">
        <f t="shared" si="12"/>
        <v>572852.28948365757</v>
      </c>
      <c r="O21" s="55">
        <f t="shared" si="13"/>
        <v>282653.51913643786</v>
      </c>
    </row>
    <row r="22" spans="1:15" ht="16" x14ac:dyDescent="0.2">
      <c r="A22" s="57" t="s">
        <v>58</v>
      </c>
      <c r="B22" s="51">
        <f>SUM(C22:L22)</f>
        <v>673559.90624088026</v>
      </c>
      <c r="C22" s="66">
        <v>106569.39766570755</v>
      </c>
      <c r="D22" s="66">
        <v>72231.103455316028</v>
      </c>
      <c r="E22" s="66">
        <v>123269.63170437554</v>
      </c>
      <c r="F22" s="66">
        <v>156813.67500394204</v>
      </c>
      <c r="G22" s="66">
        <v>81624.763861324594</v>
      </c>
      <c r="H22" s="66">
        <v>24650.620164930762</v>
      </c>
      <c r="I22" s="66">
        <v>51394.356684991944</v>
      </c>
      <c r="J22" s="66">
        <v>18619.332235040096</v>
      </c>
      <c r="K22" s="66">
        <v>20229.715738711246</v>
      </c>
      <c r="L22" s="66">
        <v>18157.309726540218</v>
      </c>
      <c r="M22" s="53">
        <f t="shared" si="11"/>
        <v>178800.50112102358</v>
      </c>
      <c r="N22" s="54">
        <f t="shared" si="12"/>
        <v>361708.07056964218</v>
      </c>
      <c r="O22" s="55">
        <f t="shared" si="13"/>
        <v>133051.33455021429</v>
      </c>
    </row>
    <row r="23" spans="1:15" x14ac:dyDescent="0.2">
      <c r="A23" s="67" t="s">
        <v>59</v>
      </c>
      <c r="B23" s="51">
        <f t="shared" ref="B23:B28" si="14">SUM(C23:L23)</f>
        <v>530142.30384208192</v>
      </c>
      <c r="C23" s="54">
        <v>149795.33712909272</v>
      </c>
      <c r="D23" s="54">
        <v>75468.321062279836</v>
      </c>
      <c r="E23" s="54">
        <v>100406.56975946942</v>
      </c>
      <c r="F23" s="54">
        <v>24712.875374581959</v>
      </c>
      <c r="G23" s="54">
        <v>61683.773733995673</v>
      </c>
      <c r="H23" s="54">
        <v>83370.145073542139</v>
      </c>
      <c r="I23" s="54">
        <v>13852.364361292026</v>
      </c>
      <c r="J23" s="54">
        <v>8935.0577076674435</v>
      </c>
      <c r="K23" s="54">
        <v>9074.4959101820768</v>
      </c>
      <c r="L23" s="54">
        <v>2843.3637299785696</v>
      </c>
      <c r="M23" s="53">
        <f t="shared" si="11"/>
        <v>225263.65819137255</v>
      </c>
      <c r="N23" s="54">
        <f t="shared" si="12"/>
        <v>186803.21886804706</v>
      </c>
      <c r="O23" s="55">
        <f t="shared" si="13"/>
        <v>118075.42678266225</v>
      </c>
    </row>
    <row r="24" spans="1:15" x14ac:dyDescent="0.2">
      <c r="A24" s="67" t="s">
        <v>60</v>
      </c>
      <c r="B24" s="51">
        <f t="shared" si="14"/>
        <v>204165.00400217753</v>
      </c>
      <c r="C24" s="66">
        <v>62685.588429232957</v>
      </c>
      <c r="D24" s="66">
        <v>16115.382639522428</v>
      </c>
      <c r="E24" s="66">
        <v>37913.658429774106</v>
      </c>
      <c r="F24" s="66">
        <v>13629.480070616959</v>
      </c>
      <c r="G24" s="66">
        <v>16188.603919386876</v>
      </c>
      <c r="H24" s="66">
        <v>12183.952630116759</v>
      </c>
      <c r="I24" s="66">
        <v>10589.56830800788</v>
      </c>
      <c r="J24" s="66">
        <v>12109.652637553558</v>
      </c>
      <c r="K24" s="66">
        <v>22478.150495198061</v>
      </c>
      <c r="L24" s="66">
        <v>270.96644276796638</v>
      </c>
      <c r="M24" s="53">
        <f t="shared" si="11"/>
        <v>78800.971068755389</v>
      </c>
      <c r="N24" s="54">
        <f t="shared" si="12"/>
        <v>67731.742419777947</v>
      </c>
      <c r="O24" s="55">
        <f t="shared" si="13"/>
        <v>57632.290513644228</v>
      </c>
    </row>
    <row r="25" spans="1:15" x14ac:dyDescent="0.2">
      <c r="A25" s="67" t="s">
        <v>61</v>
      </c>
      <c r="B25" s="51">
        <f t="shared" si="14"/>
        <v>698026.22362099506</v>
      </c>
      <c r="C25" s="66">
        <v>211064.00893474222</v>
      </c>
      <c r="D25" s="66">
        <v>200546.50535456763</v>
      </c>
      <c r="E25" s="66">
        <v>65691.998972164409</v>
      </c>
      <c r="F25" s="66">
        <v>166309.17920103003</v>
      </c>
      <c r="G25" s="66">
        <v>27440.045986413348</v>
      </c>
      <c r="H25" s="66">
        <v>0</v>
      </c>
      <c r="I25" s="66">
        <v>26974.48517207745</v>
      </c>
      <c r="J25" s="66">
        <v>0</v>
      </c>
      <c r="K25" s="66">
        <v>0</v>
      </c>
      <c r="L25" s="66">
        <v>0</v>
      </c>
      <c r="M25" s="53">
        <f t="shared" si="11"/>
        <v>411610.51428930985</v>
      </c>
      <c r="N25" s="54">
        <f t="shared" si="12"/>
        <v>259441.22415960778</v>
      </c>
      <c r="O25" s="55">
        <f t="shared" si="13"/>
        <v>26974.48517207745</v>
      </c>
    </row>
    <row r="26" spans="1:15" x14ac:dyDescent="0.2">
      <c r="A26" s="67" t="s">
        <v>54</v>
      </c>
      <c r="B26" s="51">
        <f t="shared" si="14"/>
        <v>193365.80297506569</v>
      </c>
      <c r="C26" s="66">
        <v>54542.419685461748</v>
      </c>
      <c r="D26" s="66">
        <v>13470.371093726344</v>
      </c>
      <c r="E26" s="66">
        <v>61344.949349869632</v>
      </c>
      <c r="F26" s="66">
        <v>15546.735452142808</v>
      </c>
      <c r="G26" s="66">
        <v>37606.241651737779</v>
      </c>
      <c r="H26" s="66">
        <v>8123.2381209650684</v>
      </c>
      <c r="I26" s="66">
        <v>2731.8476211622974</v>
      </c>
      <c r="J26" s="66">
        <v>0</v>
      </c>
      <c r="K26" s="66">
        <v>0</v>
      </c>
      <c r="L26" s="66">
        <v>0</v>
      </c>
      <c r="M26" s="53">
        <f t="shared" si="11"/>
        <v>68012.790779188086</v>
      </c>
      <c r="N26" s="54">
        <f t="shared" si="12"/>
        <v>114497.92645375023</v>
      </c>
      <c r="O26" s="55">
        <f t="shared" si="13"/>
        <v>10855.085742127365</v>
      </c>
    </row>
    <row r="27" spans="1:15" x14ac:dyDescent="0.2">
      <c r="A27" s="67" t="s">
        <v>62</v>
      </c>
      <c r="B27" s="51">
        <f t="shared" si="14"/>
        <v>236483.77710346456</v>
      </c>
      <c r="C27" s="66">
        <v>53213.040866791634</v>
      </c>
      <c r="D27" s="68">
        <v>56306.947609134717</v>
      </c>
      <c r="E27" s="66">
        <v>41786.76886407227</v>
      </c>
      <c r="F27" s="66">
        <v>40192.680418646894</v>
      </c>
      <c r="G27" s="66">
        <v>7469.1544705718252</v>
      </c>
      <c r="H27" s="66">
        <v>20758.463179176124</v>
      </c>
      <c r="I27" s="68">
        <v>14234.010133774611</v>
      </c>
      <c r="J27" s="66">
        <v>2523.025172405733</v>
      </c>
      <c r="K27" s="66">
        <v>-0.15074314603523062</v>
      </c>
      <c r="L27" s="66">
        <v>-0.162867963164677</v>
      </c>
      <c r="M27" s="53">
        <f t="shared" si="11"/>
        <v>109519.98847592635</v>
      </c>
      <c r="N27" s="54">
        <f t="shared" si="12"/>
        <v>89448.603753290998</v>
      </c>
      <c r="O27" s="55">
        <f t="shared" si="13"/>
        <v>37515.184874247272</v>
      </c>
    </row>
    <row r="28" spans="1:15" ht="16" x14ac:dyDescent="0.2">
      <c r="A28" s="56" t="s">
        <v>63</v>
      </c>
      <c r="B28" s="51">
        <f t="shared" si="14"/>
        <v>289070.43599997985</v>
      </c>
      <c r="C28" s="52">
        <v>57578.909851734541</v>
      </c>
      <c r="D28" s="52">
        <v>65490.284871129639</v>
      </c>
      <c r="E28" s="52">
        <v>40146.92070930398</v>
      </c>
      <c r="F28" s="52">
        <v>34639.545017019271</v>
      </c>
      <c r="G28" s="52">
        <v>30435.074739902993</v>
      </c>
      <c r="H28" s="52">
        <v>30786.761748356774</v>
      </c>
      <c r="I28" s="52">
        <v>14023.659070040681</v>
      </c>
      <c r="J28" s="52">
        <v>6221.4401838770436</v>
      </c>
      <c r="K28" s="52">
        <v>7985.3387341819271</v>
      </c>
      <c r="L28" s="52">
        <v>1762.501074432894</v>
      </c>
      <c r="M28" s="53">
        <f t="shared" si="11"/>
        <v>123069.19472286418</v>
      </c>
      <c r="N28" s="54">
        <f t="shared" si="12"/>
        <v>105221.54046622624</v>
      </c>
      <c r="O28" s="55">
        <f t="shared" si="13"/>
        <v>60779.700810889321</v>
      </c>
    </row>
    <row r="29" spans="1:15" s="69" customFormat="1" x14ac:dyDescent="0.2">
      <c r="A29" s="56"/>
      <c r="B29" s="51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3"/>
      <c r="N29" s="54"/>
      <c r="O29" s="55"/>
    </row>
    <row r="30" spans="1:15" ht="15.75" customHeight="1" x14ac:dyDescent="0.2">
      <c r="A30" s="70" t="s">
        <v>64</v>
      </c>
      <c r="B30" s="71"/>
      <c r="C30" s="54">
        <f>+C32+C38+C36</f>
        <v>51981</v>
      </c>
      <c r="D30" s="54"/>
      <c r="E30" s="54"/>
      <c r="F30" s="54"/>
      <c r="G30" s="54"/>
      <c r="H30" s="54"/>
      <c r="I30" s="54"/>
      <c r="J30" s="54"/>
      <c r="K30" s="54"/>
      <c r="L30" s="54"/>
      <c r="M30" s="72"/>
      <c r="N30" s="73"/>
      <c r="O30" s="74"/>
    </row>
    <row r="31" spans="1:15" x14ac:dyDescent="0.2">
      <c r="A31" s="75" t="s">
        <v>65</v>
      </c>
      <c r="B31" s="51">
        <f>SUM(C31:L31)</f>
        <v>341609.2347940263</v>
      </c>
      <c r="C31" s="54">
        <v>96728</v>
      </c>
      <c r="D31" s="54">
        <v>89958</v>
      </c>
      <c r="E31" s="54">
        <v>42010</v>
      </c>
      <c r="F31" s="54">
        <v>39209</v>
      </c>
      <c r="G31" s="54">
        <v>32365</v>
      </c>
      <c r="H31" s="54">
        <v>22750</v>
      </c>
      <c r="I31" s="54">
        <v>17329</v>
      </c>
      <c r="J31" s="54">
        <v>569.30400000000009</v>
      </c>
      <c r="K31" s="54">
        <v>354.46100000000001</v>
      </c>
      <c r="L31" s="54">
        <v>336.46979402625846</v>
      </c>
      <c r="M31" s="53">
        <f t="shared" ref="M31:M41" si="15">SUM(C31:D31)</f>
        <v>186686</v>
      </c>
      <c r="N31" s="54">
        <f t="shared" ref="N31:N41" si="16">SUM(E31:H31)</f>
        <v>136334</v>
      </c>
      <c r="O31" s="55">
        <f t="shared" ref="O31:O41" si="17">SUM(I31:L31)</f>
        <v>18589.234794026259</v>
      </c>
    </row>
    <row r="32" spans="1:15" x14ac:dyDescent="0.2">
      <c r="A32" s="63" t="s">
        <v>66</v>
      </c>
      <c r="B32" s="51">
        <f t="shared" ref="B32:B38" si="18">SUM(C32:L32)</f>
        <v>249091.89070447255</v>
      </c>
      <c r="C32" s="54">
        <f t="shared" ref="C32:E32" si="19">C33-C34</f>
        <v>74344</v>
      </c>
      <c r="D32" s="54">
        <f>D33-D34</f>
        <v>61549</v>
      </c>
      <c r="E32" s="54">
        <f t="shared" si="19"/>
        <v>36013</v>
      </c>
      <c r="F32" s="54">
        <f>F33-F34</f>
        <v>34685</v>
      </c>
      <c r="G32" s="54">
        <f t="shared" ref="G32:K32" si="20">G33-G34</f>
        <v>20739</v>
      </c>
      <c r="H32" s="54">
        <f t="shared" si="20"/>
        <v>9475</v>
      </c>
      <c r="I32" s="54">
        <f t="shared" si="20"/>
        <v>11192</v>
      </c>
      <c r="J32" s="54">
        <f t="shared" si="20"/>
        <v>487.98400000000004</v>
      </c>
      <c r="K32" s="54">
        <f t="shared" si="20"/>
        <v>311.35500000000002</v>
      </c>
      <c r="L32" s="54">
        <v>295.55170447255324</v>
      </c>
      <c r="M32" s="53">
        <f t="shared" si="15"/>
        <v>135893</v>
      </c>
      <c r="N32" s="54">
        <f t="shared" si="16"/>
        <v>100912</v>
      </c>
      <c r="O32" s="55">
        <f t="shared" si="17"/>
        <v>12286.890704472553</v>
      </c>
    </row>
    <row r="33" spans="1:15" x14ac:dyDescent="0.2">
      <c r="A33" s="76" t="s">
        <v>67</v>
      </c>
      <c r="B33" s="51">
        <f t="shared" si="18"/>
        <v>362921.91665852297</v>
      </c>
      <c r="C33" s="54">
        <v>103812</v>
      </c>
      <c r="D33" s="54">
        <v>82394</v>
      </c>
      <c r="E33" s="54">
        <v>55210</v>
      </c>
      <c r="F33" s="54">
        <v>57182</v>
      </c>
      <c r="G33" s="54">
        <v>28993</v>
      </c>
      <c r="H33" s="54">
        <v>17161</v>
      </c>
      <c r="I33" s="54">
        <v>17401</v>
      </c>
      <c r="J33" s="54">
        <v>345.73200000000003</v>
      </c>
      <c r="K33" s="54">
        <v>217.102</v>
      </c>
      <c r="L33" s="54">
        <v>206.08265852290876</v>
      </c>
      <c r="M33" s="53">
        <f t="shared" si="15"/>
        <v>186206</v>
      </c>
      <c r="N33" s="54">
        <f t="shared" si="16"/>
        <v>158546</v>
      </c>
      <c r="O33" s="55">
        <f t="shared" si="17"/>
        <v>18169.916658522907</v>
      </c>
    </row>
    <row r="34" spans="1:15" x14ac:dyDescent="0.2">
      <c r="A34" s="76" t="s">
        <v>68</v>
      </c>
      <c r="B34" s="51">
        <f t="shared" si="18"/>
        <v>113830.02595405036</v>
      </c>
      <c r="C34" s="54">
        <v>29468</v>
      </c>
      <c r="D34" s="54">
        <v>20845</v>
      </c>
      <c r="E34" s="54">
        <v>19197</v>
      </c>
      <c r="F34" s="54">
        <v>22497</v>
      </c>
      <c r="G34" s="54">
        <v>8254</v>
      </c>
      <c r="H34" s="54">
        <v>7686</v>
      </c>
      <c r="I34" s="54">
        <v>6209</v>
      </c>
      <c r="J34" s="54">
        <v>-142.25200000000001</v>
      </c>
      <c r="K34" s="54">
        <v>-94.253</v>
      </c>
      <c r="L34" s="54">
        <v>-89.469045949644496</v>
      </c>
      <c r="M34" s="53">
        <f t="shared" si="15"/>
        <v>50313</v>
      </c>
      <c r="N34" s="54">
        <f t="shared" si="16"/>
        <v>57634</v>
      </c>
      <c r="O34" s="55">
        <f t="shared" si="17"/>
        <v>5883.0259540503557</v>
      </c>
    </row>
    <row r="35" spans="1:15" x14ac:dyDescent="0.2">
      <c r="A35" s="75" t="s">
        <v>69</v>
      </c>
      <c r="B35" s="51">
        <f>SUM(C35:L35)</f>
        <v>-225127.54462942667</v>
      </c>
      <c r="C35" s="54">
        <v>-69016</v>
      </c>
      <c r="D35" s="54">
        <v>-53302.799999999996</v>
      </c>
      <c r="E35" s="54">
        <v>-23930.400000000001</v>
      </c>
      <c r="F35" s="54">
        <v>-28622</v>
      </c>
      <c r="G35" s="54">
        <v>-21572</v>
      </c>
      <c r="H35" s="54">
        <v>-13485</v>
      </c>
      <c r="I35" s="54">
        <v>-14757.6</v>
      </c>
      <c r="J35" s="54">
        <v>-193.565</v>
      </c>
      <c r="K35" s="54">
        <v>-127.321</v>
      </c>
      <c r="L35" s="54">
        <v>-120.85862942669927</v>
      </c>
      <c r="M35" s="53">
        <f t="shared" si="15"/>
        <v>-122318.79999999999</v>
      </c>
      <c r="N35" s="54">
        <f t="shared" si="16"/>
        <v>-87609.4</v>
      </c>
      <c r="O35" s="55">
        <f t="shared" si="17"/>
        <v>-15199.3446294267</v>
      </c>
    </row>
    <row r="36" spans="1:15" x14ac:dyDescent="0.2">
      <c r="A36" s="75" t="s">
        <v>70</v>
      </c>
      <c r="B36" s="51">
        <f>SUM(C36:L36)</f>
        <v>-85473.80552871355</v>
      </c>
      <c r="C36" s="54">
        <v>-23698</v>
      </c>
      <c r="D36" s="54">
        <v>-25621</v>
      </c>
      <c r="E36" s="54">
        <v>-12851</v>
      </c>
      <c r="F36" s="54">
        <v>-8788</v>
      </c>
      <c r="G36" s="54">
        <v>-8805</v>
      </c>
      <c r="H36" s="54">
        <v>-2588</v>
      </c>
      <c r="I36" s="54">
        <v>-3075</v>
      </c>
      <c r="J36" s="54">
        <f>-(6.995+-1.374+27.831+1.931)</f>
        <v>-35.382999999999996</v>
      </c>
      <c r="K36" s="54">
        <f>-(12.824+0.612+0.477-7.379-0.037-0.124)</f>
        <v>-6.3730000000000011</v>
      </c>
      <c r="L36" s="54">
        <v>-6.0495287135378648</v>
      </c>
      <c r="M36" s="53">
        <f t="shared" si="15"/>
        <v>-49319</v>
      </c>
      <c r="N36" s="54">
        <f t="shared" si="16"/>
        <v>-33032</v>
      </c>
      <c r="O36" s="55">
        <f t="shared" si="17"/>
        <v>-3122.8055287135376</v>
      </c>
    </row>
    <row r="37" spans="1:15" x14ac:dyDescent="0.2">
      <c r="A37" s="75" t="s">
        <v>71</v>
      </c>
      <c r="B37" s="51">
        <f>SUM(C37:L37)</f>
        <v>-9.2279155493943552</v>
      </c>
      <c r="C37" s="77">
        <v>0</v>
      </c>
      <c r="D37" s="77">
        <v>0</v>
      </c>
      <c r="E37" s="77">
        <v>0</v>
      </c>
      <c r="F37" s="77">
        <v>0</v>
      </c>
      <c r="G37" s="77">
        <v>0</v>
      </c>
      <c r="H37" s="77">
        <v>0</v>
      </c>
      <c r="I37" s="77">
        <v>0</v>
      </c>
      <c r="J37" s="78">
        <v>-8.4949999999999992</v>
      </c>
      <c r="K37" s="78">
        <f>-(2.265+0.112-1.651-0.35)</f>
        <v>-0.37600000000000022</v>
      </c>
      <c r="L37" s="54">
        <v>-0.35691554939435721</v>
      </c>
      <c r="M37" s="79">
        <f t="shared" si="15"/>
        <v>0</v>
      </c>
      <c r="N37" s="54">
        <f t="shared" si="16"/>
        <v>0</v>
      </c>
      <c r="O37" s="55">
        <f t="shared" si="17"/>
        <v>-9.2279155493943552</v>
      </c>
    </row>
    <row r="38" spans="1:15" x14ac:dyDescent="0.2">
      <c r="A38" s="75" t="s">
        <v>72</v>
      </c>
      <c r="B38" s="51">
        <f t="shared" si="18"/>
        <v>2033</v>
      </c>
      <c r="C38" s="54">
        <v>1335</v>
      </c>
      <c r="D38" s="54">
        <v>-23</v>
      </c>
      <c r="E38" s="54">
        <v>1309</v>
      </c>
      <c r="F38" s="54">
        <v>916</v>
      </c>
      <c r="G38" s="54">
        <v>-762</v>
      </c>
      <c r="H38" s="54">
        <v>-742</v>
      </c>
      <c r="I38" s="54">
        <v>0</v>
      </c>
      <c r="J38" s="54">
        <v>0</v>
      </c>
      <c r="K38" s="54">
        <v>0</v>
      </c>
      <c r="L38" s="54">
        <v>0</v>
      </c>
      <c r="M38" s="53">
        <f t="shared" si="15"/>
        <v>1312</v>
      </c>
      <c r="N38" s="54">
        <f t="shared" si="16"/>
        <v>721</v>
      </c>
      <c r="O38" s="55">
        <f t="shared" si="17"/>
        <v>0</v>
      </c>
    </row>
    <row r="39" spans="1:15" x14ac:dyDescent="0.2">
      <c r="A39" s="75" t="s">
        <v>73</v>
      </c>
      <c r="B39" s="51">
        <f>SUM(C39:L39)</f>
        <v>33031.656720336628</v>
      </c>
      <c r="C39" s="54">
        <f>C31+C35+C36+C37+C38</f>
        <v>5349</v>
      </c>
      <c r="D39" s="54">
        <f t="shared" ref="D39:L39" si="21">D31+D35+D36+D37+D38</f>
        <v>11011.200000000004</v>
      </c>
      <c r="E39" s="54">
        <f t="shared" si="21"/>
        <v>6537.5999999999985</v>
      </c>
      <c r="F39" s="54">
        <f t="shared" si="21"/>
        <v>2715</v>
      </c>
      <c r="G39" s="54">
        <f t="shared" si="21"/>
        <v>1226</v>
      </c>
      <c r="H39" s="54">
        <f t="shared" si="21"/>
        <v>5935</v>
      </c>
      <c r="I39" s="54">
        <f t="shared" si="21"/>
        <v>-503.60000000000036</v>
      </c>
      <c r="J39" s="54">
        <f t="shared" si="21"/>
        <v>331.8610000000001</v>
      </c>
      <c r="K39" s="54">
        <f t="shared" si="21"/>
        <v>220.39100000000002</v>
      </c>
      <c r="L39" s="54">
        <f t="shared" si="21"/>
        <v>209.20472033662696</v>
      </c>
      <c r="M39" s="53">
        <f t="shared" si="15"/>
        <v>16360.200000000004</v>
      </c>
      <c r="N39" s="54">
        <f t="shared" si="16"/>
        <v>16413.599999999999</v>
      </c>
      <c r="O39" s="55">
        <f t="shared" si="17"/>
        <v>257.85672033662672</v>
      </c>
    </row>
    <row r="40" spans="1:15" x14ac:dyDescent="0.2">
      <c r="A40" s="63" t="s">
        <v>74</v>
      </c>
      <c r="B40" s="51">
        <f>SUM(C40:L40)</f>
        <v>4869.8165970673272</v>
      </c>
      <c r="C40" s="54">
        <v>-767.43474699999933</v>
      </c>
      <c r="D40" s="54">
        <f>IF(D39&gt;0,D39*0.2,0)</f>
        <v>2202.2400000000011</v>
      </c>
      <c r="E40" s="54">
        <f t="shared" ref="E40:L40" si="22">IF(E39&gt;0,E39*0.2,0)</f>
        <v>1307.5199999999998</v>
      </c>
      <c r="F40" s="54">
        <f t="shared" si="22"/>
        <v>543</v>
      </c>
      <c r="G40" s="54">
        <f t="shared" si="22"/>
        <v>245.20000000000002</v>
      </c>
      <c r="H40" s="54">
        <f t="shared" si="22"/>
        <v>1187</v>
      </c>
      <c r="I40" s="54">
        <f t="shared" si="22"/>
        <v>0</v>
      </c>
      <c r="J40" s="54">
        <f t="shared" si="22"/>
        <v>66.372200000000021</v>
      </c>
      <c r="K40" s="54">
        <f t="shared" si="22"/>
        <v>44.07820000000001</v>
      </c>
      <c r="L40" s="54">
        <f t="shared" si="22"/>
        <v>41.840944067325395</v>
      </c>
      <c r="M40" s="53">
        <f t="shared" si="15"/>
        <v>1434.8052530000018</v>
      </c>
      <c r="N40" s="54">
        <f t="shared" si="16"/>
        <v>3282.72</v>
      </c>
      <c r="O40" s="55">
        <f t="shared" si="17"/>
        <v>152.29134406732544</v>
      </c>
    </row>
    <row r="41" spans="1:15" ht="16" thickBot="1" x14ac:dyDescent="0.25">
      <c r="A41" s="72" t="s">
        <v>75</v>
      </c>
      <c r="B41" s="51">
        <f>SUM(C41:L41)</f>
        <v>28161.8401232693</v>
      </c>
      <c r="C41" s="52">
        <f>C39-C40</f>
        <v>6116.4347469999993</v>
      </c>
      <c r="D41" s="52">
        <f t="shared" ref="D41:L41" si="23">D39-D40</f>
        <v>8808.9600000000028</v>
      </c>
      <c r="E41" s="52">
        <f t="shared" si="23"/>
        <v>5230.079999999999</v>
      </c>
      <c r="F41" s="52">
        <f t="shared" si="23"/>
        <v>2172</v>
      </c>
      <c r="G41" s="52">
        <f t="shared" si="23"/>
        <v>980.8</v>
      </c>
      <c r="H41" s="52">
        <f t="shared" si="23"/>
        <v>4748</v>
      </c>
      <c r="I41" s="52">
        <f t="shared" si="23"/>
        <v>-503.60000000000036</v>
      </c>
      <c r="J41" s="52">
        <f t="shared" si="23"/>
        <v>265.48880000000008</v>
      </c>
      <c r="K41" s="52">
        <f t="shared" si="23"/>
        <v>176.31280000000001</v>
      </c>
      <c r="L41" s="52">
        <f t="shared" si="23"/>
        <v>167.36377626930158</v>
      </c>
      <c r="M41" s="53">
        <f t="shared" si="15"/>
        <v>14925.394747000002</v>
      </c>
      <c r="N41" s="54">
        <f t="shared" si="16"/>
        <v>13130.88</v>
      </c>
      <c r="O41" s="55">
        <f t="shared" si="17"/>
        <v>105.56537626930131</v>
      </c>
    </row>
    <row r="42" spans="1:15" x14ac:dyDescent="0.2">
      <c r="A42" s="80" t="s">
        <v>76</v>
      </c>
      <c r="B42" s="81"/>
      <c r="C42" s="82"/>
      <c r="D42" s="83"/>
      <c r="E42" s="83"/>
      <c r="F42" s="83"/>
      <c r="G42" s="83"/>
      <c r="H42" s="83"/>
      <c r="I42" s="83"/>
      <c r="J42" s="83"/>
      <c r="K42" s="83"/>
      <c r="L42" s="83"/>
      <c r="M42" s="84"/>
      <c r="N42" s="83"/>
      <c r="O42" s="85"/>
    </row>
    <row r="43" spans="1:15" ht="15.75" customHeight="1" thickBot="1" x14ac:dyDescent="0.25">
      <c r="A43" s="86" t="s">
        <v>77</v>
      </c>
      <c r="B43" s="87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9"/>
      <c r="N43" s="90"/>
      <c r="O43" s="91"/>
    </row>
    <row r="44" spans="1:15" ht="16" x14ac:dyDescent="0.2">
      <c r="A44" s="92" t="s">
        <v>43</v>
      </c>
      <c r="B44" s="93">
        <f>100*B6/B$6</f>
        <v>100</v>
      </c>
      <c r="C44" s="94">
        <f t="shared" ref="C44:O44" si="24">100*C6/C$6</f>
        <v>100</v>
      </c>
      <c r="D44" s="94">
        <f t="shared" si="24"/>
        <v>100</v>
      </c>
      <c r="E44" s="94">
        <f t="shared" si="24"/>
        <v>100</v>
      </c>
      <c r="F44" s="94">
        <f t="shared" si="24"/>
        <v>100</v>
      </c>
      <c r="G44" s="94">
        <f t="shared" si="24"/>
        <v>100</v>
      </c>
      <c r="H44" s="94">
        <f t="shared" si="24"/>
        <v>100</v>
      </c>
      <c r="I44" s="94">
        <f t="shared" si="24"/>
        <v>100</v>
      </c>
      <c r="J44" s="94">
        <f t="shared" si="24"/>
        <v>99.999999999999986</v>
      </c>
      <c r="K44" s="94">
        <f t="shared" si="24"/>
        <v>100</v>
      </c>
      <c r="L44" s="94">
        <f t="shared" si="24"/>
        <v>100</v>
      </c>
      <c r="M44" s="95">
        <f t="shared" si="24"/>
        <v>100</v>
      </c>
      <c r="N44" s="96">
        <f t="shared" si="24"/>
        <v>100</v>
      </c>
      <c r="O44" s="97">
        <f t="shared" si="24"/>
        <v>100</v>
      </c>
    </row>
    <row r="45" spans="1:15" ht="16" x14ac:dyDescent="0.2">
      <c r="A45" s="98" t="s">
        <v>44</v>
      </c>
      <c r="B45" s="93">
        <f t="shared" ref="B45:O56" si="25">100*B7/B$6</f>
        <v>13.026956782804119</v>
      </c>
      <c r="C45" s="96">
        <f t="shared" si="25"/>
        <v>13.069766626651818</v>
      </c>
      <c r="D45" s="96">
        <f t="shared" si="25"/>
        <v>14.001280402258738</v>
      </c>
      <c r="E45" s="96">
        <f t="shared" si="25"/>
        <v>15.028066221999371</v>
      </c>
      <c r="F45" s="96">
        <f t="shared" si="25"/>
        <v>10.661210686704626</v>
      </c>
      <c r="G45" s="96">
        <f t="shared" si="25"/>
        <v>15.801822803645607</v>
      </c>
      <c r="H45" s="96">
        <f t="shared" si="25"/>
        <v>8.9923586959448691</v>
      </c>
      <c r="I45" s="96">
        <f t="shared" si="25"/>
        <v>13.62357399856027</v>
      </c>
      <c r="J45" s="96">
        <f t="shared" si="25"/>
        <v>10.048653687665547</v>
      </c>
      <c r="K45" s="96">
        <f t="shared" si="25"/>
        <v>11.592221468991434</v>
      </c>
      <c r="L45" s="96">
        <f t="shared" si="25"/>
        <v>6.3787905324259411</v>
      </c>
      <c r="M45" s="95">
        <f t="shared" si="25"/>
        <v>13.471695540511613</v>
      </c>
      <c r="N45" s="96">
        <f t="shared" si="25"/>
        <v>14.779852519559126</v>
      </c>
      <c r="O45" s="97">
        <f t="shared" si="25"/>
        <v>7.5782122297223049</v>
      </c>
    </row>
    <row r="46" spans="1:15" ht="16" x14ac:dyDescent="0.2">
      <c r="A46" s="98" t="s">
        <v>45</v>
      </c>
      <c r="B46" s="93">
        <f t="shared" si="25"/>
        <v>63.6836985168271</v>
      </c>
      <c r="C46" s="99">
        <f t="shared" si="25"/>
        <v>64.332535249266954</v>
      </c>
      <c r="D46" s="99">
        <f t="shared" si="25"/>
        <v>58.284097567352426</v>
      </c>
      <c r="E46" s="94">
        <f t="shared" si="25"/>
        <v>57.883185971990628</v>
      </c>
      <c r="F46" s="94">
        <f t="shared" si="25"/>
        <v>64.868144917119366</v>
      </c>
      <c r="G46" s="94">
        <f t="shared" si="25"/>
        <v>50.85417662074525</v>
      </c>
      <c r="H46" s="94">
        <f t="shared" si="25"/>
        <v>89.538073995331118</v>
      </c>
      <c r="I46" s="94">
        <f t="shared" si="25"/>
        <v>70.514729421785759</v>
      </c>
      <c r="J46" s="94">
        <f t="shared" si="25"/>
        <v>74.856282799353622</v>
      </c>
      <c r="K46" s="94">
        <f t="shared" si="25"/>
        <v>81.846013340664896</v>
      </c>
      <c r="L46" s="94">
        <f t="shared" si="25"/>
        <v>84.08245095826662</v>
      </c>
      <c r="M46" s="95">
        <f t="shared" si="25"/>
        <v>61.722759579061062</v>
      </c>
      <c r="N46" s="96">
        <f t="shared" si="25"/>
        <v>71.223215784686303</v>
      </c>
      <c r="O46" s="97">
        <f t="shared" si="25"/>
        <v>50.82039711722048</v>
      </c>
    </row>
    <row r="47" spans="1:15" ht="16" x14ac:dyDescent="0.2">
      <c r="A47" s="100" t="s">
        <v>46</v>
      </c>
      <c r="B47" s="93">
        <f t="shared" si="25"/>
        <v>1.4048624389472439</v>
      </c>
      <c r="C47" s="101">
        <f t="shared" si="25"/>
        <v>1.4770435089830114</v>
      </c>
      <c r="D47" s="101">
        <f t="shared" si="25"/>
        <v>1.2379043917680757</v>
      </c>
      <c r="E47" s="101">
        <f t="shared" si="25"/>
        <v>1.3181298013573235</v>
      </c>
      <c r="F47" s="101">
        <f t="shared" si="25"/>
        <v>1.244270818497677</v>
      </c>
      <c r="G47" s="101">
        <f t="shared" si="25"/>
        <v>0.91462582925165847</v>
      </c>
      <c r="H47" s="101">
        <f t="shared" si="25"/>
        <v>2.2242429640554215</v>
      </c>
      <c r="I47" s="101">
        <f t="shared" si="25"/>
        <v>2.0155708721428081</v>
      </c>
      <c r="J47" s="101">
        <f t="shared" si="25"/>
        <v>1.5704839958498444</v>
      </c>
      <c r="K47" s="101">
        <f t="shared" si="25"/>
        <v>1.687010237628739</v>
      </c>
      <c r="L47" s="101">
        <f t="shared" si="25"/>
        <v>2.0866693354683745</v>
      </c>
      <c r="M47" s="95">
        <f t="shared" si="25"/>
        <v>1.3738599295657712</v>
      </c>
      <c r="N47" s="96">
        <f t="shared" si="25"/>
        <v>1.5029321961674191</v>
      </c>
      <c r="O47" s="97">
        <f t="shared" si="25"/>
        <v>1.252543205159294</v>
      </c>
    </row>
    <row r="48" spans="1:15" ht="16" x14ac:dyDescent="0.2">
      <c r="A48" s="98" t="s">
        <v>47</v>
      </c>
      <c r="B48" s="93">
        <f t="shared" si="25"/>
        <v>1.1974889439025729</v>
      </c>
      <c r="C48" s="96">
        <f t="shared" si="25"/>
        <v>0.72645666357609917</v>
      </c>
      <c r="D48" s="96">
        <f t="shared" si="25"/>
        <v>0.89615319073441635</v>
      </c>
      <c r="E48" s="96">
        <f t="shared" si="25"/>
        <v>0.70936207913056659</v>
      </c>
      <c r="F48" s="96">
        <f t="shared" si="25"/>
        <v>0.61775196149339995</v>
      </c>
      <c r="G48" s="96">
        <f t="shared" si="25"/>
        <v>0.90937469246698499</v>
      </c>
      <c r="H48" s="96">
        <f t="shared" si="25"/>
        <v>8.8982735430255762</v>
      </c>
      <c r="I48" s="96">
        <f t="shared" si="25"/>
        <v>0.68469618397159659</v>
      </c>
      <c r="J48" s="102">
        <f t="shared" si="25"/>
        <v>0.61933928041648334</v>
      </c>
      <c r="K48" s="96">
        <f t="shared" si="25"/>
        <v>0.66653062976883581</v>
      </c>
      <c r="L48" s="103">
        <f t="shared" si="25"/>
        <v>1.016856533977182</v>
      </c>
      <c r="M48" s="95">
        <f t="shared" si="25"/>
        <v>0.79967720269489317</v>
      </c>
      <c r="N48" s="96">
        <f t="shared" si="25"/>
        <v>1.9424076706822633</v>
      </c>
      <c r="O48" s="97">
        <f t="shared" si="25"/>
        <v>0.48352295045850441</v>
      </c>
    </row>
    <row r="49" spans="1:15" ht="16" x14ac:dyDescent="0.2">
      <c r="A49" s="98" t="s">
        <v>48</v>
      </c>
      <c r="B49" s="93">
        <f t="shared" si="25"/>
        <v>62.48620957292453</v>
      </c>
      <c r="C49" s="94">
        <f t="shared" si="25"/>
        <v>63.606078585690859</v>
      </c>
      <c r="D49" s="94">
        <f t="shared" si="25"/>
        <v>57.387944376618009</v>
      </c>
      <c r="E49" s="94">
        <f t="shared" si="25"/>
        <v>57.173823892860057</v>
      </c>
      <c r="F49" s="94">
        <f t="shared" si="25"/>
        <v>64.250392955625969</v>
      </c>
      <c r="G49" s="94">
        <f t="shared" si="25"/>
        <v>49.94480192827826</v>
      </c>
      <c r="H49" s="94">
        <f t="shared" si="25"/>
        <v>80.639800452305536</v>
      </c>
      <c r="I49" s="94">
        <f t="shared" si="25"/>
        <v>69.830033237814149</v>
      </c>
      <c r="J49" s="94">
        <f t="shared" si="25"/>
        <v>74.236943518937139</v>
      </c>
      <c r="K49" s="94">
        <f t="shared" si="25"/>
        <v>81.179482710896067</v>
      </c>
      <c r="L49" s="94">
        <f t="shared" si="25"/>
        <v>83.065594424289429</v>
      </c>
      <c r="M49" s="95">
        <f t="shared" si="25"/>
        <v>60.92308237636616</v>
      </c>
      <c r="N49" s="96">
        <f t="shared" si="25"/>
        <v>69.280808114004031</v>
      </c>
      <c r="O49" s="97">
        <f t="shared" si="25"/>
        <v>50.33687416676198</v>
      </c>
    </row>
    <row r="50" spans="1:15" ht="16" x14ac:dyDescent="0.2">
      <c r="A50" s="98" t="s">
        <v>49</v>
      </c>
      <c r="B50" s="93">
        <f t="shared" si="25"/>
        <v>16.419005740401651</v>
      </c>
      <c r="C50" s="99">
        <f t="shared" si="25"/>
        <v>16.980906794364575</v>
      </c>
      <c r="D50" s="99">
        <f t="shared" si="25"/>
        <v>23.266357240925721</v>
      </c>
      <c r="E50" s="94">
        <f t="shared" si="25"/>
        <v>12.40234033373369</v>
      </c>
      <c r="F50" s="94">
        <f t="shared" si="25"/>
        <v>17.876836950191525</v>
      </c>
      <c r="G50" s="94">
        <f t="shared" si="25"/>
        <v>19.051026102052205</v>
      </c>
      <c r="H50" s="94">
        <f t="shared" si="25"/>
        <v>6.2014909760528285</v>
      </c>
      <c r="I50" s="94">
        <f t="shared" si="25"/>
        <v>9.7950590787268563</v>
      </c>
      <c r="J50" s="94">
        <f t="shared" si="25"/>
        <v>14.637124638611427</v>
      </c>
      <c r="K50" s="94">
        <f t="shared" si="25"/>
        <v>4.7419562077833977</v>
      </c>
      <c r="L50" s="94">
        <f t="shared" si="25"/>
        <v>10.242055340546937</v>
      </c>
      <c r="M50" s="95">
        <f t="shared" si="25"/>
        <v>19.692948566865368</v>
      </c>
      <c r="N50" s="96">
        <f t="shared" si="25"/>
        <v>16.861081052691606</v>
      </c>
      <c r="O50" s="97">
        <f t="shared" si="25"/>
        <v>6.415521224593566</v>
      </c>
    </row>
    <row r="51" spans="1:15" ht="16" x14ac:dyDescent="0.2">
      <c r="A51" s="100" t="s">
        <v>50</v>
      </c>
      <c r="B51" s="93">
        <f t="shared" si="25"/>
        <v>3.2601006924595586</v>
      </c>
      <c r="C51" s="94">
        <f t="shared" si="25"/>
        <v>2.2096856756038012</v>
      </c>
      <c r="D51" s="94">
        <f t="shared" si="25"/>
        <v>5.7379147790302918</v>
      </c>
      <c r="E51" s="94">
        <f t="shared" si="25"/>
        <v>2.7509711193801651</v>
      </c>
      <c r="F51" s="94">
        <f t="shared" si="25"/>
        <v>2.5203206555410551</v>
      </c>
      <c r="G51" s="94">
        <f t="shared" si="25"/>
        <v>5.7829188473969948</v>
      </c>
      <c r="H51" s="94">
        <f t="shared" si="25"/>
        <v>1.1787716779745683</v>
      </c>
      <c r="I51" s="94">
        <f t="shared" si="25"/>
        <v>2.1660957437851667</v>
      </c>
      <c r="J51" s="94">
        <f t="shared" si="25"/>
        <v>4.2888896709365589</v>
      </c>
      <c r="K51" s="94">
        <f t="shared" si="25"/>
        <v>0.50610692541525704</v>
      </c>
      <c r="L51" s="94">
        <f t="shared" si="25"/>
        <v>1.1690602481985588</v>
      </c>
      <c r="M51" s="95">
        <f t="shared" si="25"/>
        <v>3.7320435070430467</v>
      </c>
      <c r="N51" s="96">
        <f t="shared" si="25"/>
        <v>3.5206813903451923</v>
      </c>
      <c r="O51" s="97">
        <f t="shared" si="25"/>
        <v>1.34249133541572</v>
      </c>
    </row>
    <row r="52" spans="1:15" ht="16" x14ac:dyDescent="0.2">
      <c r="A52" s="100" t="s">
        <v>51</v>
      </c>
      <c r="B52" s="93">
        <f t="shared" si="25"/>
        <v>13.158905047942092</v>
      </c>
      <c r="C52" s="99">
        <f t="shared" si="25"/>
        <v>14.771221118760771</v>
      </c>
      <c r="D52" s="99">
        <f t="shared" si="25"/>
        <v>17.528442461895427</v>
      </c>
      <c r="E52" s="94">
        <f t="shared" si="25"/>
        <v>9.6513692143535241</v>
      </c>
      <c r="F52" s="94">
        <f t="shared" si="25"/>
        <v>15.356516294650469</v>
      </c>
      <c r="G52" s="94">
        <f t="shared" si="25"/>
        <v>13.268107254655208</v>
      </c>
      <c r="H52" s="94">
        <f t="shared" si="25"/>
        <v>5.0227192980782602</v>
      </c>
      <c r="I52" s="94">
        <f t="shared" si="25"/>
        <v>7.6289633349416901</v>
      </c>
      <c r="J52" s="94">
        <f t="shared" si="25"/>
        <v>10.348234967674868</v>
      </c>
      <c r="K52" s="94">
        <f t="shared" si="25"/>
        <v>4.2358492823681395</v>
      </c>
      <c r="L52" s="94">
        <f t="shared" si="25"/>
        <v>9.0729950923483784</v>
      </c>
      <c r="M52" s="95">
        <f t="shared" si="25"/>
        <v>15.96090505982232</v>
      </c>
      <c r="N52" s="96">
        <f t="shared" si="25"/>
        <v>13.34039966234641</v>
      </c>
      <c r="O52" s="97">
        <f t="shared" si="25"/>
        <v>5.0730298891778451</v>
      </c>
    </row>
    <row r="53" spans="1:15" ht="16" x14ac:dyDescent="0.2">
      <c r="A53" s="104" t="s">
        <v>52</v>
      </c>
      <c r="B53" s="93">
        <f t="shared" si="25"/>
        <v>9.1943324627544971</v>
      </c>
      <c r="C53" s="99">
        <f t="shared" si="25"/>
        <v>9.5638682666587691</v>
      </c>
      <c r="D53" s="99">
        <f t="shared" si="25"/>
        <v>13.714450871480627</v>
      </c>
      <c r="E53" s="94">
        <f t="shared" si="25"/>
        <v>7.6163105026840707</v>
      </c>
      <c r="F53" s="94">
        <f t="shared" si="25"/>
        <v>10.504323079860123</v>
      </c>
      <c r="G53" s="94">
        <f t="shared" si="25"/>
        <v>8.6903831769379369</v>
      </c>
      <c r="H53" s="94">
        <f t="shared" si="25"/>
        <v>2.792342073816509</v>
      </c>
      <c r="I53" s="94">
        <f t="shared" si="25"/>
        <v>3.4787693227840331</v>
      </c>
      <c r="J53" s="94">
        <f t="shared" si="25"/>
        <v>7.5308174708254487</v>
      </c>
      <c r="K53" s="94">
        <f t="shared" si="25"/>
        <v>3.3720709904739326</v>
      </c>
      <c r="L53" s="94">
        <f t="shared" si="25"/>
        <v>4.7916392784548281</v>
      </c>
      <c r="M53" s="95">
        <f t="shared" si="25"/>
        <v>11.354758752582597</v>
      </c>
      <c r="N53" s="96">
        <f t="shared" si="25"/>
        <v>9.3444391223488932</v>
      </c>
      <c r="O53" s="97">
        <f t="shared" si="25"/>
        <v>2.9353119012641851</v>
      </c>
    </row>
    <row r="54" spans="1:15" ht="16" x14ac:dyDescent="0.2">
      <c r="A54" s="104" t="s">
        <v>53</v>
      </c>
      <c r="B54" s="93">
        <f t="shared" si="25"/>
        <v>3.9645725851875948</v>
      </c>
      <c r="C54" s="96">
        <f t="shared" si="25"/>
        <v>5.2073528521020034</v>
      </c>
      <c r="D54" s="96">
        <f t="shared" si="25"/>
        <v>3.8139915904148003</v>
      </c>
      <c r="E54" s="96">
        <f t="shared" si="25"/>
        <v>2.0350587116694521</v>
      </c>
      <c r="F54" s="96">
        <f t="shared" si="25"/>
        <v>4.8521932147903462</v>
      </c>
      <c r="G54" s="96">
        <f t="shared" si="25"/>
        <v>4.5777240777172707</v>
      </c>
      <c r="H54" s="96">
        <f t="shared" si="25"/>
        <v>2.2303772242617508</v>
      </c>
      <c r="I54" s="96">
        <f t="shared" si="25"/>
        <v>4.1501940121576579</v>
      </c>
      <c r="J54" s="96">
        <f t="shared" si="25"/>
        <v>2.8174174968494188</v>
      </c>
      <c r="K54" s="96">
        <f t="shared" si="25"/>
        <v>0.86377829189420774</v>
      </c>
      <c r="L54" s="94">
        <f t="shared" si="25"/>
        <v>4.2813558138935512</v>
      </c>
      <c r="M54" s="95">
        <f t="shared" si="25"/>
        <v>4.6061463072397233</v>
      </c>
      <c r="N54" s="96">
        <f t="shared" si="25"/>
        <v>3.9959605399975193</v>
      </c>
      <c r="O54" s="97">
        <f t="shared" si="25"/>
        <v>2.1377179879136605</v>
      </c>
    </row>
    <row r="55" spans="1:15" x14ac:dyDescent="0.2">
      <c r="A55" s="105" t="s">
        <v>54</v>
      </c>
      <c r="B55" s="93">
        <f t="shared" si="25"/>
        <v>5.3060914593589663</v>
      </c>
      <c r="C55" s="96">
        <f t="shared" si="25"/>
        <v>5.6124818665074745</v>
      </c>
      <c r="D55" s="96">
        <f t="shared" si="25"/>
        <v>2.7050686188229638</v>
      </c>
      <c r="E55" s="96">
        <f t="shared" si="25"/>
        <v>10.739356553983932</v>
      </c>
      <c r="F55" s="96">
        <f t="shared" si="25"/>
        <v>2.2222434457093296</v>
      </c>
      <c r="G55" s="96">
        <f t="shared" si="25"/>
        <v>12.342736685473371</v>
      </c>
      <c r="H55" s="96">
        <f t="shared" si="25"/>
        <v>3.9463845177112957</v>
      </c>
      <c r="I55" s="96">
        <f t="shared" si="25"/>
        <v>1.3602373646329067</v>
      </c>
      <c r="J55" s="96">
        <f t="shared" si="25"/>
        <v>0</v>
      </c>
      <c r="K55" s="96">
        <f t="shared" si="25"/>
        <v>0</v>
      </c>
      <c r="L55" s="94">
        <f t="shared" si="25"/>
        <v>0</v>
      </c>
      <c r="M55" s="95">
        <f t="shared" si="25"/>
        <v>4.3579932272793043</v>
      </c>
      <c r="N55" s="96">
        <f t="shared" si="25"/>
        <v>8.4102299464727697</v>
      </c>
      <c r="O55" s="97">
        <f t="shared" si="25"/>
        <v>0.39420674017523705</v>
      </c>
    </row>
    <row r="56" spans="1:15" ht="16" x14ac:dyDescent="0.2">
      <c r="A56" s="98" t="s">
        <v>55</v>
      </c>
      <c r="B56" s="93">
        <f t="shared" si="25"/>
        <v>2.7617364445107557</v>
      </c>
      <c r="C56" s="96">
        <f t="shared" si="25"/>
        <v>0.73076612678527242</v>
      </c>
      <c r="D56" s="96">
        <f t="shared" si="25"/>
        <v>2.6393493613745695</v>
      </c>
      <c r="E56" s="96">
        <f t="shared" si="25"/>
        <v>4.6564129974229527</v>
      </c>
      <c r="F56" s="96">
        <f t="shared" si="25"/>
        <v>4.9893159617685505</v>
      </c>
      <c r="G56" s="96">
        <f t="shared" si="25"/>
        <v>2.8596124805505529</v>
      </c>
      <c r="H56" s="96">
        <f t="shared" si="25"/>
        <v>0.21996535798547059</v>
      </c>
      <c r="I56" s="96">
        <f t="shared" si="25"/>
        <v>5.3910963202658051</v>
      </c>
      <c r="J56" s="96">
        <f t="shared" si="25"/>
        <v>1.0772781547858865</v>
      </c>
      <c r="K56" s="96">
        <f t="shared" si="25"/>
        <v>2.4863396123291017</v>
      </c>
      <c r="L56" s="94">
        <f t="shared" si="25"/>
        <v>0.31355970273769085</v>
      </c>
      <c r="M56" s="95">
        <f t="shared" si="25"/>
        <v>1.5542802889775578</v>
      </c>
      <c r="N56" s="96">
        <f t="shared" si="25"/>
        <v>-9.3319716327275337</v>
      </c>
      <c r="O56" s="97">
        <f t="shared" si="25"/>
        <v>35.275185638746912</v>
      </c>
    </row>
    <row r="57" spans="1:15" ht="17.25" customHeight="1" x14ac:dyDescent="0.2">
      <c r="A57" s="98"/>
      <c r="B57" s="106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95"/>
      <c r="N57" s="96"/>
      <c r="O57" s="97"/>
    </row>
    <row r="58" spans="1:15" ht="16" x14ac:dyDescent="0.2">
      <c r="A58" s="92" t="s">
        <v>56</v>
      </c>
      <c r="B58" s="93">
        <f t="shared" ref="B58:O66" si="26">100*B20/B$6</f>
        <v>100</v>
      </c>
      <c r="C58" s="94">
        <f t="shared" si="26"/>
        <v>100</v>
      </c>
      <c r="D58" s="94">
        <f t="shared" si="26"/>
        <v>100</v>
      </c>
      <c r="E58" s="94">
        <f t="shared" si="26"/>
        <v>100</v>
      </c>
      <c r="F58" s="94">
        <f t="shared" si="26"/>
        <v>100</v>
      </c>
      <c r="G58" s="94">
        <f t="shared" si="26"/>
        <v>100</v>
      </c>
      <c r="H58" s="94">
        <f t="shared" si="26"/>
        <v>100</v>
      </c>
      <c r="I58" s="94">
        <f t="shared" si="26"/>
        <v>100</v>
      </c>
      <c r="J58" s="94">
        <f t="shared" si="26"/>
        <v>99.999999999999986</v>
      </c>
      <c r="K58" s="94">
        <f t="shared" si="26"/>
        <v>100</v>
      </c>
      <c r="L58" s="94">
        <f t="shared" si="26"/>
        <v>100</v>
      </c>
      <c r="M58" s="95">
        <f t="shared" si="26"/>
        <v>100</v>
      </c>
      <c r="N58" s="96">
        <f t="shared" si="26"/>
        <v>100</v>
      </c>
      <c r="O58" s="97">
        <f t="shared" si="26"/>
        <v>100</v>
      </c>
    </row>
    <row r="59" spans="1:15" ht="16" x14ac:dyDescent="0.2">
      <c r="A59" s="100" t="s">
        <v>57</v>
      </c>
      <c r="B59" s="93">
        <f t="shared" si="26"/>
        <v>36.817511596773571</v>
      </c>
      <c r="C59" s="108">
        <f t="shared" si="26"/>
        <v>38.394626847128066</v>
      </c>
      <c r="D59" s="108">
        <f t="shared" si="26"/>
        <v>41.684048068696256</v>
      </c>
      <c r="E59" s="108">
        <f t="shared" si="26"/>
        <v>31.410774369872243</v>
      </c>
      <c r="F59" s="108">
        <f t="shared" si="26"/>
        <v>32.401525080113473</v>
      </c>
      <c r="G59" s="108">
        <f t="shared" si="26"/>
        <v>34.912850551594488</v>
      </c>
      <c r="H59" s="109">
        <f t="shared" si="26"/>
        <v>25.483021591152895</v>
      </c>
      <c r="I59" s="108">
        <f t="shared" si="26"/>
        <v>36.541089367199731</v>
      </c>
      <c r="J59" s="108">
        <f t="shared" si="26"/>
        <v>44.115260554672261</v>
      </c>
      <c r="K59" s="109">
        <f t="shared" si="26"/>
        <v>45.040283205584174</v>
      </c>
      <c r="L59" s="109">
        <f t="shared" si="26"/>
        <v>71.18447494776261</v>
      </c>
      <c r="M59" s="95">
        <f t="shared" si="26"/>
        <v>39.813944020350611</v>
      </c>
      <c r="N59" s="96">
        <f t="shared" si="26"/>
        <v>32.590930479012258</v>
      </c>
      <c r="O59" s="97">
        <f t="shared" si="26"/>
        <v>38.850740020165325</v>
      </c>
    </row>
    <row r="60" spans="1:15" ht="16" x14ac:dyDescent="0.2">
      <c r="A60" s="100" t="s">
        <v>58</v>
      </c>
      <c r="B60" s="93">
        <f t="shared" si="26"/>
        <v>15.065487212235269</v>
      </c>
      <c r="C60" s="108">
        <f t="shared" si="26"/>
        <v>9.4403044907258398</v>
      </c>
      <c r="D60" s="108">
        <f t="shared" si="26"/>
        <v>8.4307081144257126</v>
      </c>
      <c r="E60" s="108">
        <f t="shared" si="26"/>
        <v>17.967867303015431</v>
      </c>
      <c r="F60" s="108">
        <f t="shared" si="26"/>
        <v>23.460223608125968</v>
      </c>
      <c r="G60" s="108">
        <f t="shared" si="26"/>
        <v>20.242981923572344</v>
      </c>
      <c r="H60" s="108">
        <f t="shared" si="26"/>
        <v>10.212137914220516</v>
      </c>
      <c r="I60" s="108">
        <f t="shared" si="26"/>
        <v>24.375357145814871</v>
      </c>
      <c r="J60" s="108">
        <f t="shared" si="26"/>
        <v>21.494910191514091</v>
      </c>
      <c r="K60" s="108">
        <f t="shared" si="26"/>
        <v>18.602392858958012</v>
      </c>
      <c r="L60" s="108">
        <f t="shared" si="26"/>
        <v>22.714809005379575</v>
      </c>
      <c r="M60" s="95">
        <f t="shared" si="26"/>
        <v>9.0046845508073883</v>
      </c>
      <c r="N60" s="96">
        <f t="shared" si="26"/>
        <v>20.578433215756871</v>
      </c>
      <c r="O60" s="97">
        <f t="shared" si="26"/>
        <v>18.287912436891514</v>
      </c>
    </row>
    <row r="61" spans="1:15" x14ac:dyDescent="0.2">
      <c r="A61" s="110" t="s">
        <v>59</v>
      </c>
      <c r="B61" s="93">
        <f t="shared" si="26"/>
        <v>11.857671493204277</v>
      </c>
      <c r="C61" s="96">
        <f t="shared" si="26"/>
        <v>13.269415280223599</v>
      </c>
      <c r="D61" s="96">
        <f t="shared" si="26"/>
        <v>8.8085513902670556</v>
      </c>
      <c r="E61" s="96">
        <f t="shared" si="26"/>
        <v>14.635331483066896</v>
      </c>
      <c r="F61" s="96">
        <f t="shared" si="26"/>
        <v>3.6971876481618584</v>
      </c>
      <c r="G61" s="96">
        <f t="shared" si="26"/>
        <v>15.297606481243887</v>
      </c>
      <c r="H61" s="111">
        <f t="shared" si="26"/>
        <v>34.538174444422772</v>
      </c>
      <c r="I61" s="96">
        <f t="shared" si="26"/>
        <v>6.5699105971892129</v>
      </c>
      <c r="J61" s="96">
        <f t="shared" si="26"/>
        <v>10.314991996376172</v>
      </c>
      <c r="K61" s="96">
        <f t="shared" si="26"/>
        <v>8.34452347717313</v>
      </c>
      <c r="L61" s="96">
        <f t="shared" si="26"/>
        <v>3.5570503027153841</v>
      </c>
      <c r="M61" s="95">
        <f t="shared" si="26"/>
        <v>11.34464484191372</v>
      </c>
      <c r="N61" s="96">
        <f t="shared" si="26"/>
        <v>10.627679824535145</v>
      </c>
      <c r="O61" s="97">
        <f t="shared" si="26"/>
        <v>16.229473182284924</v>
      </c>
    </row>
    <row r="62" spans="1:15" x14ac:dyDescent="0.2">
      <c r="A62" s="110" t="s">
        <v>60</v>
      </c>
      <c r="B62" s="93">
        <f t="shared" si="26"/>
        <v>4.566550396603887</v>
      </c>
      <c r="C62" s="108">
        <f t="shared" si="26"/>
        <v>5.5529172062000187</v>
      </c>
      <c r="D62" s="108">
        <f t="shared" si="26"/>
        <v>1.880963749503646</v>
      </c>
      <c r="E62" s="108">
        <f t="shared" si="26"/>
        <v>5.5263212375919908</v>
      </c>
      <c r="F62" s="108">
        <f t="shared" si="26"/>
        <v>2.0390482533562992</v>
      </c>
      <c r="G62" s="108">
        <f t="shared" si="26"/>
        <v>4.014781801571548</v>
      </c>
      <c r="H62" s="108">
        <f t="shared" si="26"/>
        <v>5.0475080856624599</v>
      </c>
      <c r="I62" s="108">
        <f t="shared" si="26"/>
        <v>5.0224290404061325</v>
      </c>
      <c r="J62" s="108">
        <f t="shared" si="26"/>
        <v>13.979872780012451</v>
      </c>
      <c r="K62" s="109">
        <f t="shared" si="26"/>
        <v>20.669958572591117</v>
      </c>
      <c r="L62" s="96">
        <f t="shared" si="26"/>
        <v>0.33897923684943754</v>
      </c>
      <c r="M62" s="95">
        <f t="shared" si="26"/>
        <v>3.9685452911071764</v>
      </c>
      <c r="N62" s="96">
        <f t="shared" si="26"/>
        <v>3.853420068225673</v>
      </c>
      <c r="O62" s="97">
        <f t="shared" si="26"/>
        <v>7.9215611479135033</v>
      </c>
    </row>
    <row r="63" spans="1:15" x14ac:dyDescent="0.2">
      <c r="A63" s="110" t="s">
        <v>61</v>
      </c>
      <c r="B63" s="93">
        <f t="shared" si="26"/>
        <v>15.612724344679421</v>
      </c>
      <c r="C63" s="108">
        <f t="shared" si="26"/>
        <v>18.696816863199789</v>
      </c>
      <c r="D63" s="108">
        <f t="shared" si="26"/>
        <v>23.407493020765116</v>
      </c>
      <c r="E63" s="108">
        <f t="shared" si="26"/>
        <v>9.5753114865498468</v>
      </c>
      <c r="F63" s="108">
        <f t="shared" si="26"/>
        <v>24.880805401964945</v>
      </c>
      <c r="G63" s="108">
        <f t="shared" si="26"/>
        <v>6.8051450149205408</v>
      </c>
      <c r="H63" s="108">
        <f t="shared" si="26"/>
        <v>0</v>
      </c>
      <c r="I63" s="108">
        <f t="shared" si="26"/>
        <v>12.793480691351482</v>
      </c>
      <c r="J63" s="108">
        <f t="shared" si="26"/>
        <v>0</v>
      </c>
      <c r="K63" s="108">
        <f t="shared" si="26"/>
        <v>0</v>
      </c>
      <c r="L63" s="108">
        <f t="shared" si="26"/>
        <v>0</v>
      </c>
      <c r="M63" s="95">
        <f t="shared" si="26"/>
        <v>20.729376124410791</v>
      </c>
      <c r="N63" s="96">
        <f t="shared" si="26"/>
        <v>14.760228867369886</v>
      </c>
      <c r="O63" s="97">
        <f t="shared" si="26"/>
        <v>3.7076443052963457</v>
      </c>
    </row>
    <row r="64" spans="1:15" x14ac:dyDescent="0.2">
      <c r="A64" s="110" t="s">
        <v>54</v>
      </c>
      <c r="B64" s="93">
        <f t="shared" si="26"/>
        <v>4.3250051034995076</v>
      </c>
      <c r="C64" s="108">
        <f t="shared" si="26"/>
        <v>4.8315657287176741</v>
      </c>
      <c r="D64" s="108">
        <f t="shared" si="26"/>
        <v>1.5722418937495295</v>
      </c>
      <c r="E64" s="108">
        <f t="shared" si="26"/>
        <v>8.9416825084059646</v>
      </c>
      <c r="F64" s="108">
        <f t="shared" si="26"/>
        <v>2.3258806355662598</v>
      </c>
      <c r="G64" s="108">
        <f t="shared" si="26"/>
        <v>9.326366582364134</v>
      </c>
      <c r="H64" s="108">
        <f t="shared" si="26"/>
        <v>3.3652552124982935</v>
      </c>
      <c r="I64" s="108">
        <f t="shared" si="26"/>
        <v>1.2956629040406131</v>
      </c>
      <c r="J64" s="108">
        <f t="shared" si="26"/>
        <v>0</v>
      </c>
      <c r="K64" s="108">
        <f t="shared" si="26"/>
        <v>0</v>
      </c>
      <c r="L64" s="108">
        <f t="shared" si="26"/>
        <v>0</v>
      </c>
      <c r="M64" s="95">
        <f t="shared" si="26"/>
        <v>3.4252349548624359</v>
      </c>
      <c r="N64" s="96">
        <f t="shared" si="26"/>
        <v>6.5140596093431302</v>
      </c>
      <c r="O64" s="97">
        <f t="shared" si="26"/>
        <v>1.4920320658042965</v>
      </c>
    </row>
    <row r="65" spans="1:15" x14ac:dyDescent="0.2">
      <c r="A65" s="110" t="s">
        <v>62</v>
      </c>
      <c r="B65" s="93">
        <f t="shared" si="26"/>
        <v>5.2894230889378742</v>
      </c>
      <c r="C65" s="108">
        <f t="shared" si="26"/>
        <v>4.7138045223427074</v>
      </c>
      <c r="D65" s="112">
        <f t="shared" si="26"/>
        <v>6.5720640748696511</v>
      </c>
      <c r="E65" s="108">
        <f t="shared" si="26"/>
        <v>6.0908685098697877</v>
      </c>
      <c r="F65" s="108">
        <f t="shared" si="26"/>
        <v>6.0130551114735269</v>
      </c>
      <c r="G65" s="108">
        <f t="shared" si="26"/>
        <v>1.8523540134098395</v>
      </c>
      <c r="H65" s="108">
        <f t="shared" si="26"/>
        <v>8.5997142244153544</v>
      </c>
      <c r="I65" s="112">
        <f t="shared" si="26"/>
        <v>6.7509178635019751</v>
      </c>
      <c r="J65" s="108">
        <f t="shared" si="26"/>
        <v>2.9126823028448849</v>
      </c>
      <c r="K65" s="108">
        <f t="shared" si="26"/>
        <v>-1.3861703543251481E-4</v>
      </c>
      <c r="L65" s="108">
        <f t="shared" si="26"/>
        <v>-2.0374795231770042E-4</v>
      </c>
      <c r="M65" s="95">
        <f t="shared" si="26"/>
        <v>5.5156050573161357</v>
      </c>
      <c r="N65" s="96">
        <f t="shared" si="26"/>
        <v>5.0889440085783013</v>
      </c>
      <c r="O65" s="97">
        <f t="shared" si="26"/>
        <v>5.1564639945426691</v>
      </c>
    </row>
    <row r="66" spans="1:15" ht="16" x14ac:dyDescent="0.2">
      <c r="A66" s="98" t="s">
        <v>63</v>
      </c>
      <c r="B66" s="93">
        <f t="shared" si="26"/>
        <v>6.4656267640662222</v>
      </c>
      <c r="C66" s="99">
        <f t="shared" si="26"/>
        <v>5.1005490614623055</v>
      </c>
      <c r="D66" s="94">
        <f t="shared" si="26"/>
        <v>7.6439296877230358</v>
      </c>
      <c r="E66" s="94">
        <f t="shared" si="26"/>
        <v>5.8518431016278525</v>
      </c>
      <c r="F66" s="99">
        <f t="shared" si="26"/>
        <v>5.1822742612376693</v>
      </c>
      <c r="G66" s="94">
        <f t="shared" si="26"/>
        <v>7.5479136313232047</v>
      </c>
      <c r="H66" s="99">
        <f t="shared" si="26"/>
        <v>12.754188527627704</v>
      </c>
      <c r="I66" s="94">
        <f t="shared" si="26"/>
        <v>6.6511523904959882</v>
      </c>
      <c r="J66" s="94">
        <f t="shared" si="26"/>
        <v>7.1822821745801448</v>
      </c>
      <c r="K66" s="94">
        <f t="shared" si="26"/>
        <v>7.3429805027290023</v>
      </c>
      <c r="L66" s="99">
        <f t="shared" si="26"/>
        <v>2.2048902552453136</v>
      </c>
      <c r="M66" s="95">
        <f t="shared" si="26"/>
        <v>6.1979651592317468</v>
      </c>
      <c r="N66" s="96">
        <f t="shared" si="26"/>
        <v>5.9863039271787457</v>
      </c>
      <c r="O66" s="97">
        <f t="shared" si="26"/>
        <v>8.3541728471014256</v>
      </c>
    </row>
    <row r="67" spans="1:15" s="69" customFormat="1" x14ac:dyDescent="0.2">
      <c r="A67" s="98"/>
      <c r="B67" s="93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5"/>
      <c r="N67" s="96"/>
      <c r="O67" s="97"/>
    </row>
    <row r="68" spans="1:15" ht="15.75" customHeight="1" x14ac:dyDescent="0.2">
      <c r="A68" s="113"/>
      <c r="B68" s="114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5"/>
      <c r="N68" s="96"/>
      <c r="O68" s="97"/>
    </row>
    <row r="69" spans="1:15" x14ac:dyDescent="0.2">
      <c r="A69" s="115" t="s">
        <v>65</v>
      </c>
      <c r="B69" s="93">
        <f t="shared" ref="B69:O79" si="27">100*B31/B$6</f>
        <v>7.640759954216116</v>
      </c>
      <c r="C69" s="111">
        <f t="shared" si="27"/>
        <v>8.5685177244157806</v>
      </c>
      <c r="D69" s="111">
        <f t="shared" si="27"/>
        <v>10.499765395757516</v>
      </c>
      <c r="E69" s="96">
        <f t="shared" si="27"/>
        <v>6.1234068355935962</v>
      </c>
      <c r="F69" s="96">
        <f t="shared" si="27"/>
        <v>5.865890888839175</v>
      </c>
      <c r="G69" s="96">
        <f t="shared" si="27"/>
        <v>8.0265360530721068</v>
      </c>
      <c r="H69" s="96">
        <f t="shared" si="27"/>
        <v>9.4247583222687368</v>
      </c>
      <c r="I69" s="96">
        <f t="shared" si="27"/>
        <v>8.218812165872956</v>
      </c>
      <c r="J69" s="111">
        <f t="shared" si="27"/>
        <v>0.65722756311530994</v>
      </c>
      <c r="K69" s="111">
        <f t="shared" si="27"/>
        <v>0.32594737663867845</v>
      </c>
      <c r="L69" s="111">
        <f t="shared" si="27"/>
        <v>0.42092398171819762</v>
      </c>
      <c r="M69" s="95">
        <f t="shared" si="27"/>
        <v>9.4018111219620515</v>
      </c>
      <c r="N69" s="96">
        <f t="shared" si="27"/>
        <v>7.7563658162745552</v>
      </c>
      <c r="O69" s="97">
        <f t="shared" si="27"/>
        <v>2.5550912309990186</v>
      </c>
    </row>
    <row r="70" spans="1:15" x14ac:dyDescent="0.2">
      <c r="A70" s="105" t="s">
        <v>66</v>
      </c>
      <c r="B70" s="93">
        <f t="shared" si="27"/>
        <v>5.5714282565056505</v>
      </c>
      <c r="C70" s="96">
        <f t="shared" si="27"/>
        <v>6.5856616667765984</v>
      </c>
      <c r="D70" s="96">
        <f t="shared" si="27"/>
        <v>7.1839087167731526</v>
      </c>
      <c r="E70" s="96">
        <f t="shared" si="27"/>
        <v>5.2492799421621559</v>
      </c>
      <c r="F70" s="96">
        <f t="shared" si="27"/>
        <v>5.1890745869414365</v>
      </c>
      <c r="G70" s="96">
        <f t="shared" si="27"/>
        <v>5.1432822865645731</v>
      </c>
      <c r="H70" s="96">
        <f t="shared" si="27"/>
        <v>3.9252564880657701</v>
      </c>
      <c r="I70" s="96">
        <f t="shared" si="27"/>
        <v>5.3081508315800177</v>
      </c>
      <c r="J70" s="96">
        <f t="shared" si="27"/>
        <v>0.56334846612576295</v>
      </c>
      <c r="K70" s="96">
        <f t="shared" si="27"/>
        <v>0.28630891819787152</v>
      </c>
      <c r="L70" s="96">
        <f t="shared" si="27"/>
        <v>0.36973541892583223</v>
      </c>
      <c r="M70" s="95">
        <f t="shared" si="27"/>
        <v>6.8437928864338469</v>
      </c>
      <c r="N70" s="96">
        <f t="shared" si="27"/>
        <v>5.7411239107771932</v>
      </c>
      <c r="O70" s="97">
        <f t="shared" si="27"/>
        <v>1.6888337278589773</v>
      </c>
    </row>
    <row r="71" spans="1:15" x14ac:dyDescent="0.2">
      <c r="A71" s="116" t="s">
        <v>67</v>
      </c>
      <c r="B71" s="93">
        <f t="shared" si="27"/>
        <v>8.1174598484838505</v>
      </c>
      <c r="C71" s="96">
        <f t="shared" si="27"/>
        <v>9.1960441858308979</v>
      </c>
      <c r="D71" s="96">
        <f t="shared" si="27"/>
        <v>9.6169064454305868</v>
      </c>
      <c r="E71" s="96">
        <f t="shared" si="27"/>
        <v>8.0474480217358355</v>
      </c>
      <c r="F71" s="96">
        <f t="shared" si="27"/>
        <v>8.5547545922008137</v>
      </c>
      <c r="G71" s="96">
        <f t="shared" si="27"/>
        <v>7.1902783805567614</v>
      </c>
      <c r="H71" s="96">
        <f t="shared" si="27"/>
        <v>7.1093748381737925</v>
      </c>
      <c r="I71" s="96">
        <f t="shared" si="27"/>
        <v>8.2529603842319421</v>
      </c>
      <c r="J71" s="96">
        <f t="shared" si="27"/>
        <v>0.3991270039398675</v>
      </c>
      <c r="K71" s="96">
        <f t="shared" si="27"/>
        <v>0.19963783706249877</v>
      </c>
      <c r="L71" s="96">
        <f t="shared" si="27"/>
        <v>0.25780957081028416</v>
      </c>
      <c r="M71" s="95">
        <f t="shared" si="27"/>
        <v>9.3776375399122909</v>
      </c>
      <c r="N71" s="96">
        <f t="shared" si="27"/>
        <v>9.0200593740891168</v>
      </c>
      <c r="O71" s="97">
        <f t="shared" si="27"/>
        <v>2.4974559327796548</v>
      </c>
    </row>
    <row r="72" spans="1:15" x14ac:dyDescent="0.2">
      <c r="A72" s="116" t="s">
        <v>68</v>
      </c>
      <c r="B72" s="93">
        <f t="shared" si="27"/>
        <v>2.5460315919781991</v>
      </c>
      <c r="C72" s="96">
        <f t="shared" si="27"/>
        <v>2.6103825190542991</v>
      </c>
      <c r="D72" s="96">
        <f t="shared" si="27"/>
        <v>2.4329977286574334</v>
      </c>
      <c r="E72" s="96">
        <f t="shared" si="27"/>
        <v>2.7981680795736792</v>
      </c>
      <c r="F72" s="96">
        <f t="shared" si="27"/>
        <v>3.3656800052593772</v>
      </c>
      <c r="G72" s="96">
        <f t="shared" si="27"/>
        <v>2.0469960939921878</v>
      </c>
      <c r="H72" s="96">
        <f t="shared" si="27"/>
        <v>3.1841183501080224</v>
      </c>
      <c r="I72" s="96">
        <f t="shared" si="27"/>
        <v>2.9448095526519236</v>
      </c>
      <c r="J72" s="96">
        <f t="shared" si="27"/>
        <v>-0.16422146218589551</v>
      </c>
      <c r="K72" s="96">
        <f t="shared" si="27"/>
        <v>-8.6671081135372752E-2</v>
      </c>
      <c r="L72" s="96">
        <f t="shared" si="27"/>
        <v>-0.11192584811554807</v>
      </c>
      <c r="M72" s="95">
        <f t="shared" si="27"/>
        <v>2.5338446534784436</v>
      </c>
      <c r="N72" s="96">
        <f t="shared" si="27"/>
        <v>3.2789354633119232</v>
      </c>
      <c r="O72" s="97">
        <f t="shared" si="27"/>
        <v>0.80862220492067793</v>
      </c>
    </row>
    <row r="73" spans="1:15" x14ac:dyDescent="0.2">
      <c r="A73" s="115" t="s">
        <v>69</v>
      </c>
      <c r="B73" s="93">
        <f t="shared" si="27"/>
        <v>-5.0354186959632061</v>
      </c>
      <c r="C73" s="96">
        <f t="shared" si="27"/>
        <v>-6.1136880662091588</v>
      </c>
      <c r="D73" s="96">
        <f t="shared" si="27"/>
        <v>-6.2214243862356176</v>
      </c>
      <c r="E73" s="96">
        <f t="shared" si="27"/>
        <v>-3.4881117576407759</v>
      </c>
      <c r="F73" s="96">
        <f t="shared" si="27"/>
        <v>-4.2820150735890961</v>
      </c>
      <c r="G73" s="96">
        <f t="shared" si="27"/>
        <v>-5.3498666997333997</v>
      </c>
      <c r="H73" s="96">
        <f t="shared" si="27"/>
        <v>-5.5864996033316006</v>
      </c>
      <c r="I73" s="96">
        <f t="shared" si="27"/>
        <v>-6.9992464896466471</v>
      </c>
      <c r="J73" s="96">
        <f t="shared" si="27"/>
        <v>-0.22345926474153519</v>
      </c>
      <c r="K73" s="96">
        <f t="shared" si="27"/>
        <v>-0.11707901839980474</v>
      </c>
      <c r="L73" s="96">
        <f t="shared" si="27"/>
        <v>-0.15119424217711577</v>
      </c>
      <c r="M73" s="95">
        <f t="shared" si="27"/>
        <v>-6.1601740583924434</v>
      </c>
      <c r="N73" s="96">
        <f t="shared" si="27"/>
        <v>-4.9843073286511359</v>
      </c>
      <c r="O73" s="97">
        <f t="shared" si="27"/>
        <v>-2.0891506621918743</v>
      </c>
    </row>
    <row r="74" spans="1:15" x14ac:dyDescent="0.2">
      <c r="A74" s="115" t="s">
        <v>70</v>
      </c>
      <c r="B74" s="93">
        <f t="shared" si="27"/>
        <v>-1.9117891552669204</v>
      </c>
      <c r="C74" s="96">
        <f t="shared" si="27"/>
        <v>-2.0992549523737196</v>
      </c>
      <c r="D74" s="96">
        <f t="shared" si="27"/>
        <v>-2.9904454212488414</v>
      </c>
      <c r="E74" s="96">
        <f t="shared" si="27"/>
        <v>-1.8731707032662057</v>
      </c>
      <c r="F74" s="96">
        <f t="shared" si="27"/>
        <v>-1.3147351151806643</v>
      </c>
      <c r="G74" s="96">
        <f t="shared" si="27"/>
        <v>-2.1836443672887347</v>
      </c>
      <c r="H74" s="96">
        <f t="shared" si="27"/>
        <v>-1.0721439357376479</v>
      </c>
      <c r="I74" s="96">
        <f t="shared" si="27"/>
        <v>-1.4584134924149887</v>
      </c>
      <c r="J74" s="96">
        <f t="shared" si="27"/>
        <v>-4.0847566266369116E-2</v>
      </c>
      <c r="K74" s="96">
        <f t="shared" si="27"/>
        <v>-5.8603418466863727E-3</v>
      </c>
      <c r="L74" s="96">
        <f t="shared" si="27"/>
        <v>-7.567965264133638E-3</v>
      </c>
      <c r="M74" s="95">
        <f t="shared" si="27"/>
        <v>-2.4837851939837292</v>
      </c>
      <c r="N74" s="96">
        <f t="shared" si="27"/>
        <v>-1.8792691158711774</v>
      </c>
      <c r="O74" s="97">
        <f t="shared" si="27"/>
        <v>-0.42922977255068728</v>
      </c>
    </row>
    <row r="75" spans="1:15" x14ac:dyDescent="0.2">
      <c r="A75" s="115" t="s">
        <v>71</v>
      </c>
      <c r="B75" s="93">
        <f t="shared" si="27"/>
        <v>-2.0640041430148589E-4</v>
      </c>
      <c r="C75" s="117">
        <f t="shared" si="27"/>
        <v>0</v>
      </c>
      <c r="D75" s="117">
        <f t="shared" si="27"/>
        <v>0</v>
      </c>
      <c r="E75" s="117">
        <f t="shared" si="27"/>
        <v>0</v>
      </c>
      <c r="F75" s="117">
        <f t="shared" si="27"/>
        <v>0</v>
      </c>
      <c r="G75" s="117">
        <f t="shared" si="27"/>
        <v>0</v>
      </c>
      <c r="H75" s="117">
        <f t="shared" si="27"/>
        <v>0</v>
      </c>
      <c r="I75" s="117">
        <f t="shared" si="27"/>
        <v>0</v>
      </c>
      <c r="J75" s="118">
        <f t="shared" si="27"/>
        <v>-9.8069715804992696E-3</v>
      </c>
      <c r="K75" s="118">
        <f t="shared" si="27"/>
        <v>-3.4575373204991008E-4</v>
      </c>
      <c r="L75" s="96">
        <f t="shared" si="27"/>
        <v>-4.4650163805338918E-4</v>
      </c>
      <c r="M75" s="119">
        <f t="shared" si="27"/>
        <v>0</v>
      </c>
      <c r="N75" s="96">
        <f t="shared" si="27"/>
        <v>0</v>
      </c>
      <c r="O75" s="97">
        <f t="shared" si="27"/>
        <v>-1.2683774432842155E-3</v>
      </c>
    </row>
    <row r="76" spans="1:15" x14ac:dyDescent="0.2">
      <c r="A76" s="115" t="s">
        <v>72</v>
      </c>
      <c r="B76" s="93">
        <f t="shared" si="27"/>
        <v>4.5472028870318468E-2</v>
      </c>
      <c r="C76" s="96">
        <f t="shared" si="27"/>
        <v>0.11825915104308025</v>
      </c>
      <c r="D76" s="96">
        <f t="shared" si="27"/>
        <v>-2.6845261577894443E-3</v>
      </c>
      <c r="E76" s="96">
        <f t="shared" si="27"/>
        <v>0.19080075095910537</v>
      </c>
      <c r="F76" s="96">
        <f t="shared" si="27"/>
        <v>0.13703884450449347</v>
      </c>
      <c r="G76" s="96">
        <f t="shared" si="27"/>
        <v>-0.1889763779527559</v>
      </c>
      <c r="H76" s="96">
        <f t="shared" si="27"/>
        <v>-0.30739211758784185</v>
      </c>
      <c r="I76" s="96">
        <f t="shared" si="27"/>
        <v>0</v>
      </c>
      <c r="J76" s="96">
        <f t="shared" si="27"/>
        <v>0</v>
      </c>
      <c r="K76" s="96">
        <f t="shared" si="27"/>
        <v>0</v>
      </c>
      <c r="L76" s="96">
        <f t="shared" si="27"/>
        <v>0</v>
      </c>
      <c r="M76" s="95">
        <f t="shared" si="27"/>
        <v>6.6074457602681574E-2</v>
      </c>
      <c r="N76" s="96">
        <f t="shared" si="27"/>
        <v>4.1019406410242154E-2</v>
      </c>
      <c r="O76" s="97">
        <f t="shared" si="27"/>
        <v>0</v>
      </c>
    </row>
    <row r="77" spans="1:15" x14ac:dyDescent="0.2">
      <c r="A77" s="115" t="s">
        <v>73</v>
      </c>
      <c r="B77" s="93">
        <f t="shared" si="27"/>
        <v>0.73881773144200502</v>
      </c>
      <c r="C77" s="111">
        <f t="shared" si="27"/>
        <v>0.47383385687598223</v>
      </c>
      <c r="D77" s="96">
        <f t="shared" si="27"/>
        <v>1.285211062115267</v>
      </c>
      <c r="E77" s="96">
        <f t="shared" si="27"/>
        <v>0.95292512564571974</v>
      </c>
      <c r="F77" s="111">
        <f t="shared" si="27"/>
        <v>0.40617954457390804</v>
      </c>
      <c r="G77" s="111">
        <f t="shared" si="27"/>
        <v>0.30404860809721618</v>
      </c>
      <c r="H77" s="96">
        <f t="shared" si="27"/>
        <v>2.4587226656116461</v>
      </c>
      <c r="I77" s="111">
        <f t="shared" si="27"/>
        <v>-0.23884781618867931</v>
      </c>
      <c r="J77" s="111">
        <f t="shared" si="27"/>
        <v>0.38311376052690638</v>
      </c>
      <c r="K77" s="111">
        <f t="shared" si="27"/>
        <v>0.20266226266013751</v>
      </c>
      <c r="L77" s="111">
        <f t="shared" si="27"/>
        <v>0.26171527263889482</v>
      </c>
      <c r="M77" s="95">
        <f t="shared" si="27"/>
        <v>0.82392632718856051</v>
      </c>
      <c r="N77" s="96">
        <f t="shared" si="27"/>
        <v>0.93380877816248342</v>
      </c>
      <c r="O77" s="97">
        <f t="shared" si="27"/>
        <v>3.544241881317272E-2</v>
      </c>
    </row>
    <row r="78" spans="1:15" x14ac:dyDescent="0.2">
      <c r="A78" s="105" t="s">
        <v>74</v>
      </c>
      <c r="B78" s="93">
        <f t="shared" si="27"/>
        <v>0.10892299109444246</v>
      </c>
      <c r="C78" s="96">
        <f t="shared" si="27"/>
        <v>-6.7982158547701121E-2</v>
      </c>
      <c r="D78" s="96">
        <f t="shared" si="27"/>
        <v>0.25704221242305347</v>
      </c>
      <c r="E78" s="96">
        <f t="shared" si="27"/>
        <v>0.19058502512914394</v>
      </c>
      <c r="F78" s="96">
        <f t="shared" si="27"/>
        <v>8.1235908914781607E-2</v>
      </c>
      <c r="G78" s="96">
        <f t="shared" si="27"/>
        <v>6.0809721619443237E-2</v>
      </c>
      <c r="H78" s="96">
        <f t="shared" si="27"/>
        <v>0.49174453312232924</v>
      </c>
      <c r="I78" s="96">
        <f t="shared" si="27"/>
        <v>0</v>
      </c>
      <c r="J78" s="96">
        <f t="shared" si="27"/>
        <v>7.6622752105381275E-2</v>
      </c>
      <c r="K78" s="96">
        <f t="shared" si="27"/>
        <v>4.0532452532027502E-2</v>
      </c>
      <c r="L78" s="96">
        <f t="shared" si="27"/>
        <v>5.2343054527778973E-2</v>
      </c>
      <c r="M78" s="95">
        <f t="shared" si="27"/>
        <v>7.2259130226717552E-2</v>
      </c>
      <c r="N78" s="96">
        <f t="shared" si="27"/>
        <v>0.18676175563249672</v>
      </c>
      <c r="O78" s="97">
        <f t="shared" si="27"/>
        <v>2.0932452685385562E-2</v>
      </c>
    </row>
    <row r="79" spans="1:15" ht="16" thickBot="1" x14ac:dyDescent="0.25">
      <c r="A79" s="120" t="s">
        <v>75</v>
      </c>
      <c r="B79" s="121">
        <f t="shared" si="27"/>
        <v>0.62989474034756243</v>
      </c>
      <c r="C79" s="99">
        <f t="shared" si="27"/>
        <v>0.54181601542368329</v>
      </c>
      <c r="D79" s="94">
        <f t="shared" si="27"/>
        <v>1.0281688496922134</v>
      </c>
      <c r="E79" s="94">
        <f t="shared" si="27"/>
        <v>0.76234010051657575</v>
      </c>
      <c r="F79" s="99">
        <f t="shared" si="27"/>
        <v>0.32494363565912643</v>
      </c>
      <c r="G79" s="99">
        <f t="shared" si="27"/>
        <v>0.24323888647777295</v>
      </c>
      <c r="H79" s="94">
        <f t="shared" si="27"/>
        <v>1.966978132489317</v>
      </c>
      <c r="I79" s="99">
        <f t="shared" si="27"/>
        <v>-0.23884781618867931</v>
      </c>
      <c r="J79" s="99">
        <f t="shared" si="27"/>
        <v>0.3064910084215251</v>
      </c>
      <c r="K79" s="99">
        <f t="shared" si="27"/>
        <v>0.16212981012811001</v>
      </c>
      <c r="L79" s="99">
        <f t="shared" si="27"/>
        <v>0.20937221811111589</v>
      </c>
      <c r="M79" s="95">
        <f t="shared" si="27"/>
        <v>0.75166719696184292</v>
      </c>
      <c r="N79" s="96">
        <f t="shared" si="27"/>
        <v>0.74704702252998689</v>
      </c>
      <c r="O79" s="97">
        <f t="shared" si="27"/>
        <v>1.4509966127787167E-2</v>
      </c>
    </row>
    <row r="80" spans="1:15" x14ac:dyDescent="0.2">
      <c r="A80" s="122"/>
      <c r="B80" s="123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5"/>
      <c r="N80" s="126"/>
      <c r="O80" s="127"/>
    </row>
    <row r="81" spans="1:15" ht="16" thickBot="1" x14ac:dyDescent="0.25">
      <c r="A81" s="128" t="s">
        <v>78</v>
      </c>
      <c r="B81" s="129"/>
      <c r="C81" s="130"/>
      <c r="D81" s="130"/>
      <c r="E81" s="131"/>
      <c r="F81" s="130"/>
      <c r="G81" s="130"/>
      <c r="H81" s="132"/>
      <c r="I81" s="132"/>
      <c r="J81" s="130"/>
      <c r="K81" s="130"/>
      <c r="L81" s="132"/>
      <c r="M81" s="133"/>
      <c r="N81" s="130"/>
      <c r="O81" s="134"/>
    </row>
    <row r="82" spans="1:15" ht="16" x14ac:dyDescent="0.2">
      <c r="A82" s="135" t="s">
        <v>79</v>
      </c>
      <c r="B82" s="136"/>
      <c r="C82" s="137"/>
      <c r="D82" s="137"/>
      <c r="E82" s="137"/>
      <c r="F82" s="137"/>
      <c r="G82" s="137"/>
      <c r="H82" s="137"/>
      <c r="I82" s="137"/>
      <c r="J82" s="137"/>
      <c r="K82" s="137"/>
      <c r="L82" s="137"/>
      <c r="M82" s="138"/>
      <c r="N82" s="139"/>
      <c r="O82" s="140"/>
    </row>
    <row r="83" spans="1:15" x14ac:dyDescent="0.2">
      <c r="A83" s="141" t="s">
        <v>80</v>
      </c>
      <c r="B83" s="142">
        <f>SUM(C83:L83)</f>
        <v>3180555.3051781813</v>
      </c>
      <c r="C83" s="137">
        <v>901982.70481289329</v>
      </c>
      <c r="D83" s="137">
        <v>601016.17601254047</v>
      </c>
      <c r="E83" s="137">
        <v>453580.33126020688</v>
      </c>
      <c r="F83" s="137">
        <v>390515.22920869489</v>
      </c>
      <c r="G83" s="137">
        <v>275924.59991302638</v>
      </c>
      <c r="H83" s="137">
        <v>251543.54947826258</v>
      </c>
      <c r="I83" s="137">
        <v>166764.06213581594</v>
      </c>
      <c r="J83" s="137">
        <v>39688.802211136135</v>
      </c>
      <c r="K83" s="137">
        <v>79025.638814495542</v>
      </c>
      <c r="L83" s="137">
        <v>20514.211331109036</v>
      </c>
      <c r="M83" s="143">
        <f>SUM(C83:D83)</f>
        <v>1502998.8808254339</v>
      </c>
      <c r="N83" s="137">
        <f>SUM(E83:H83)</f>
        <v>1371563.7098601907</v>
      </c>
      <c r="O83" s="144">
        <f>SUM(I83:L83)</f>
        <v>305992.71449255664</v>
      </c>
    </row>
    <row r="84" spans="1:15" ht="15" customHeight="1" x14ac:dyDescent="0.2">
      <c r="A84" s="145" t="s">
        <v>81</v>
      </c>
      <c r="B84" s="142">
        <f>SUM(C84:L84)</f>
        <v>384961.53145401418</v>
      </c>
      <c r="C84" s="137">
        <v>85525.457628822463</v>
      </c>
      <c r="D84" s="137">
        <v>90146.942955966995</v>
      </c>
      <c r="E84" s="137">
        <v>46576.695691260269</v>
      </c>
      <c r="F84" s="137">
        <v>45019.895863316633</v>
      </c>
      <c r="G84" s="137">
        <v>40541.171325995361</v>
      </c>
      <c r="H84" s="137">
        <v>37864.200308604937</v>
      </c>
      <c r="I84" s="137">
        <v>18482.637233202229</v>
      </c>
      <c r="J84" s="137">
        <v>8109.1578937548147</v>
      </c>
      <c r="K84" s="137">
        <v>10509.793712270561</v>
      </c>
      <c r="L84" s="137">
        <v>2185.5788408199169</v>
      </c>
      <c r="M84" s="143">
        <f>SUM(C84:D84)</f>
        <v>175672.40058478946</v>
      </c>
      <c r="N84" s="137">
        <f>SUM(E84:H84)</f>
        <v>170001.96318917722</v>
      </c>
      <c r="O84" s="144">
        <f>SUM(I84:L84)</f>
        <v>39287.167680047518</v>
      </c>
    </row>
    <row r="85" spans="1:15" ht="16" x14ac:dyDescent="0.2">
      <c r="A85" s="145" t="s">
        <v>82</v>
      </c>
      <c r="B85" s="142">
        <f>SUM(C85:L85)</f>
        <v>323037.21570192394</v>
      </c>
      <c r="C85" s="137">
        <v>70618.196042481053</v>
      </c>
      <c r="D85" s="137">
        <v>74008.133973019823</v>
      </c>
      <c r="E85" s="137">
        <v>42220.584737578392</v>
      </c>
      <c r="F85" s="137">
        <v>36881.48351787377</v>
      </c>
      <c r="G85" s="137">
        <v>33478.276119730188</v>
      </c>
      <c r="H85" s="137">
        <v>32957.456659282674</v>
      </c>
      <c r="I85" s="137">
        <v>15580.182469806183</v>
      </c>
      <c r="J85" s="137">
        <v>6686.2926152811478</v>
      </c>
      <c r="K85" s="137">
        <v>8737.9729087919477</v>
      </c>
      <c r="L85" s="137">
        <v>1868.6366580787796</v>
      </c>
      <c r="M85" s="143">
        <f>SUM(C85:D85)</f>
        <v>144626.33001550089</v>
      </c>
      <c r="N85" s="137">
        <f>SUM(E85:H85)</f>
        <v>145537.80103446502</v>
      </c>
      <c r="O85" s="144">
        <f>SUM(I85:L85)</f>
        <v>32873.084651958059</v>
      </c>
    </row>
    <row r="86" spans="1:15" ht="7.5" customHeight="1" x14ac:dyDescent="0.2">
      <c r="A86" s="145"/>
      <c r="B86" s="142"/>
      <c r="C86" s="146"/>
      <c r="D86" s="137"/>
      <c r="E86" s="137"/>
      <c r="F86" s="137"/>
      <c r="G86" s="137"/>
      <c r="H86" s="137"/>
      <c r="I86" s="137"/>
      <c r="J86" s="137"/>
      <c r="K86" s="137"/>
      <c r="L86" s="137"/>
      <c r="M86" s="143"/>
      <c r="N86" s="137"/>
      <c r="O86" s="144"/>
    </row>
    <row r="87" spans="1:15" ht="16" x14ac:dyDescent="0.2">
      <c r="A87" s="147" t="s">
        <v>83</v>
      </c>
      <c r="B87" s="142"/>
      <c r="C87" s="146"/>
      <c r="D87" s="137"/>
      <c r="E87" s="137"/>
      <c r="F87" s="137"/>
      <c r="G87" s="137"/>
      <c r="H87" s="137"/>
      <c r="I87" s="137"/>
      <c r="J87" s="137"/>
      <c r="K87" s="137"/>
      <c r="L87" s="137"/>
      <c r="M87" s="143"/>
      <c r="N87" s="137"/>
      <c r="O87" s="144"/>
    </row>
    <row r="88" spans="1:15" ht="16" x14ac:dyDescent="0.2">
      <c r="A88" s="145" t="s">
        <v>84</v>
      </c>
      <c r="B88" s="142">
        <f t="shared" ref="B88:B89" si="28">SUM(C88:L88)</f>
        <v>582419.64999999991</v>
      </c>
      <c r="C88" s="137">
        <f t="shared" ref="C88:L88" si="29">C7</f>
        <v>147541.54999999999</v>
      </c>
      <c r="D88" s="137">
        <f t="shared" si="29"/>
        <v>119957.65</v>
      </c>
      <c r="E88" s="137">
        <f t="shared" si="29"/>
        <v>103100.95</v>
      </c>
      <c r="F88" s="137">
        <f t="shared" si="29"/>
        <v>71262.05</v>
      </c>
      <c r="G88" s="137">
        <f t="shared" si="29"/>
        <v>63716.9</v>
      </c>
      <c r="H88" s="137">
        <f t="shared" si="29"/>
        <v>21706.25</v>
      </c>
      <c r="I88" s="137">
        <f t="shared" si="29"/>
        <v>28724.7</v>
      </c>
      <c r="J88" s="137">
        <f t="shared" si="29"/>
        <v>8704.35</v>
      </c>
      <c r="K88" s="137">
        <f t="shared" si="29"/>
        <v>12606.3</v>
      </c>
      <c r="L88" s="137">
        <f t="shared" si="29"/>
        <v>5098.95</v>
      </c>
      <c r="M88" s="143">
        <f t="shared" ref="M88:M89" si="30">SUM(C88:D88)</f>
        <v>267499.19999999995</v>
      </c>
      <c r="N88" s="137">
        <f t="shared" ref="N88:N89" si="31">SUM(E88:H88)</f>
        <v>259786.15</v>
      </c>
      <c r="O88" s="144">
        <f t="shared" ref="O88:O89" si="32">SUM(I88:L88)</f>
        <v>55134.3</v>
      </c>
    </row>
    <row r="89" spans="1:15" ht="16" x14ac:dyDescent="0.2">
      <c r="A89" s="145" t="s">
        <v>85</v>
      </c>
      <c r="B89" s="142">
        <f t="shared" si="28"/>
        <v>3874526.6</v>
      </c>
      <c r="C89" s="137">
        <v>983081</v>
      </c>
      <c r="D89" s="137">
        <v>831797</v>
      </c>
      <c r="E89" s="137">
        <v>512584</v>
      </c>
      <c r="F89" s="137">
        <v>649050</v>
      </c>
      <c r="G89" s="137">
        <v>334903</v>
      </c>
      <c r="H89" s="137">
        <v>103143</v>
      </c>
      <c r="I89" s="137">
        <v>188280</v>
      </c>
      <c r="J89" s="137">
        <v>98208</v>
      </c>
      <c r="K89" s="137">
        <v>82068.600000000006</v>
      </c>
      <c r="L89" s="137">
        <v>91412</v>
      </c>
      <c r="M89" s="143">
        <f t="shared" si="30"/>
        <v>1814878</v>
      </c>
      <c r="N89" s="137">
        <f t="shared" si="31"/>
        <v>1599680</v>
      </c>
      <c r="O89" s="144">
        <f t="shared" si="32"/>
        <v>459968.6</v>
      </c>
    </row>
    <row r="90" spans="1:15" ht="7.5" customHeight="1" x14ac:dyDescent="0.2">
      <c r="A90" s="145"/>
      <c r="B90" s="148"/>
      <c r="C90" s="137"/>
      <c r="D90" s="139"/>
      <c r="E90" s="149"/>
      <c r="F90" s="139"/>
      <c r="G90" s="139"/>
      <c r="H90" s="150" t="s">
        <v>86</v>
      </c>
      <c r="I90" s="151"/>
      <c r="J90" s="139"/>
      <c r="K90" s="139"/>
      <c r="L90" s="151"/>
      <c r="M90" s="138"/>
      <c r="N90" s="139"/>
      <c r="O90" s="140"/>
    </row>
    <row r="91" spans="1:15" ht="16" x14ac:dyDescent="0.2">
      <c r="A91" s="135" t="s">
        <v>87</v>
      </c>
      <c r="B91" s="136"/>
      <c r="C91" s="137"/>
      <c r="D91" s="139"/>
      <c r="E91" s="149"/>
      <c r="F91" s="139"/>
      <c r="G91" s="139"/>
      <c r="H91" s="150" t="s">
        <v>86</v>
      </c>
      <c r="I91" s="151"/>
      <c r="J91" s="139"/>
      <c r="K91" s="139"/>
      <c r="L91" s="151"/>
      <c r="M91" s="138"/>
      <c r="N91" s="139"/>
      <c r="O91" s="140"/>
    </row>
    <row r="92" spans="1:15" ht="16" x14ac:dyDescent="0.2">
      <c r="A92" s="152" t="s">
        <v>88</v>
      </c>
      <c r="B92" s="142">
        <f>SUM(C92:L92)</f>
        <v>2847221.9582271469</v>
      </c>
      <c r="C92" s="153">
        <f t="shared" ref="C92:L92" si="33">C8</f>
        <v>726235</v>
      </c>
      <c r="D92" s="153">
        <f t="shared" si="33"/>
        <v>499356</v>
      </c>
      <c r="E92" s="153">
        <f t="shared" si="33"/>
        <v>397111.07035200001</v>
      </c>
      <c r="F92" s="153">
        <f t="shared" si="33"/>
        <v>433594</v>
      </c>
      <c r="G92" s="153">
        <f t="shared" si="33"/>
        <v>205056.75367900002</v>
      </c>
      <c r="H92" s="153">
        <f t="shared" si="33"/>
        <v>216131.927604</v>
      </c>
      <c r="I92" s="153">
        <f t="shared" si="33"/>
        <v>148677.17152899998</v>
      </c>
      <c r="J92" s="153">
        <f t="shared" si="33"/>
        <v>64842.048043146795</v>
      </c>
      <c r="K92" s="153">
        <f t="shared" si="33"/>
        <v>89005.839022</v>
      </c>
      <c r="L92" s="153">
        <f t="shared" si="33"/>
        <v>67212.147998</v>
      </c>
      <c r="M92" s="138"/>
      <c r="N92" s="139"/>
      <c r="O92" s="140"/>
    </row>
    <row r="93" spans="1:15" ht="16" x14ac:dyDescent="0.2">
      <c r="A93" s="154" t="s">
        <v>89</v>
      </c>
      <c r="B93" s="142">
        <f>SUM(C93:L93)</f>
        <v>53538.297793944039</v>
      </c>
      <c r="C93" s="153">
        <f t="shared" ref="C93:L93" si="34">+C10</f>
        <v>8200.7999999999993</v>
      </c>
      <c r="D93" s="153">
        <f t="shared" si="34"/>
        <v>7677.9</v>
      </c>
      <c r="E93" s="153">
        <f t="shared" si="34"/>
        <v>4866.6211056000002</v>
      </c>
      <c r="F93" s="153">
        <f t="shared" si="34"/>
        <v>4129.2</v>
      </c>
      <c r="G93" s="153">
        <f t="shared" si="34"/>
        <v>3666.8261037000002</v>
      </c>
      <c r="H93" s="153">
        <f t="shared" si="34"/>
        <v>21479.142083200004</v>
      </c>
      <c r="I93" s="153">
        <f t="shared" si="34"/>
        <v>1443.6514586999997</v>
      </c>
      <c r="J93" s="153">
        <f t="shared" si="34"/>
        <v>536.48439214403993</v>
      </c>
      <c r="K93" s="153">
        <f t="shared" si="34"/>
        <v>724.83821159999991</v>
      </c>
      <c r="L93" s="153">
        <f t="shared" si="34"/>
        <v>812.83443900000009</v>
      </c>
      <c r="M93" s="143">
        <f>SUM(C93:D93)</f>
        <v>15878.699999999999</v>
      </c>
      <c r="N93" s="137">
        <f>SUM(E93:H93)</f>
        <v>34141.789292500005</v>
      </c>
      <c r="O93" s="144">
        <f>SUM(I93:L93)</f>
        <v>3517.8085014440398</v>
      </c>
    </row>
    <row r="94" spans="1:15" ht="12" customHeight="1" x14ac:dyDescent="0.2">
      <c r="A94" s="154" t="s">
        <v>90</v>
      </c>
      <c r="B94" s="142">
        <f t="shared" ref="B94:B117" si="35">SUM(C94:L94)</f>
        <v>62809.718618999992</v>
      </c>
      <c r="C94" s="155">
        <f t="shared" ref="C94:L94" si="36">C9</f>
        <v>16674</v>
      </c>
      <c r="D94" s="153">
        <f t="shared" si="36"/>
        <v>10605.894425</v>
      </c>
      <c r="E94" s="155">
        <f t="shared" si="36"/>
        <v>9043.1085899999998</v>
      </c>
      <c r="F94" s="155">
        <f t="shared" si="36"/>
        <v>8317</v>
      </c>
      <c r="G94" s="153">
        <f t="shared" si="36"/>
        <v>3688</v>
      </c>
      <c r="H94" s="155">
        <f t="shared" si="36"/>
        <v>5369</v>
      </c>
      <c r="I94" s="153">
        <f t="shared" si="36"/>
        <v>4249.7415609999989</v>
      </c>
      <c r="J94" s="155">
        <f t="shared" si="36"/>
        <v>1360.38546</v>
      </c>
      <c r="K94" s="153">
        <f t="shared" si="36"/>
        <v>1834.588583</v>
      </c>
      <c r="L94" s="155">
        <f t="shared" si="36"/>
        <v>1668</v>
      </c>
      <c r="M94" s="143">
        <f>SUM(C94:D94)</f>
        <v>27279.894424999999</v>
      </c>
      <c r="N94" s="137">
        <f>SUM(E94:H94)</f>
        <v>26417.10859</v>
      </c>
      <c r="O94" s="144">
        <f>SUM(I94:L94)</f>
        <v>9112.7156039999973</v>
      </c>
    </row>
    <row r="95" spans="1:15" ht="7.5" customHeight="1" x14ac:dyDescent="0.2">
      <c r="A95" s="154"/>
      <c r="B95" s="142"/>
      <c r="C95" s="155"/>
      <c r="D95" s="153"/>
      <c r="E95" s="155"/>
      <c r="F95" s="155"/>
      <c r="G95" s="153"/>
      <c r="H95" s="155"/>
      <c r="I95" s="153"/>
      <c r="J95" s="155"/>
      <c r="K95" s="153"/>
      <c r="L95" s="155"/>
      <c r="M95" s="143"/>
      <c r="N95" s="137"/>
      <c r="O95" s="144"/>
    </row>
    <row r="96" spans="1:15" ht="12" customHeight="1" x14ac:dyDescent="0.2">
      <c r="A96" s="156" t="s">
        <v>91</v>
      </c>
      <c r="B96" s="142"/>
      <c r="C96" s="155"/>
      <c r="D96" s="153"/>
      <c r="E96" s="155"/>
      <c r="F96" s="155"/>
      <c r="G96" s="153"/>
      <c r="H96" s="155"/>
      <c r="I96" s="153"/>
      <c r="J96" s="155"/>
      <c r="K96" s="153"/>
      <c r="L96" s="155"/>
      <c r="M96" s="143"/>
      <c r="N96" s="137"/>
      <c r="O96" s="144"/>
    </row>
    <row r="97" spans="1:15" ht="12" customHeight="1" x14ac:dyDescent="0.2">
      <c r="A97" s="157" t="s">
        <v>92</v>
      </c>
      <c r="B97" s="142">
        <v>158357.75119395199</v>
      </c>
      <c r="C97" s="155">
        <v>36751.239908555013</v>
      </c>
      <c r="D97" s="153">
        <v>27382.656558494542</v>
      </c>
      <c r="E97" s="155">
        <v>21903.874250310921</v>
      </c>
      <c r="F97" s="155">
        <v>22647.825916981263</v>
      </c>
      <c r="G97" s="153">
        <v>15326.585814978404</v>
      </c>
      <c r="H97" s="155">
        <v>14107.693139737752</v>
      </c>
      <c r="I97" s="153">
        <v>8184.5200215805862</v>
      </c>
      <c r="J97" s="155">
        <v>4776.8358879661382</v>
      </c>
      <c r="K97" s="153">
        <v>6276.284870279057</v>
      </c>
      <c r="L97" s="155">
        <v>1000.234825068339</v>
      </c>
      <c r="M97" s="143">
        <v>64133.896467049555</v>
      </c>
      <c r="N97" s="137">
        <v>73985.979122008343</v>
      </c>
      <c r="O97" s="144">
        <v>20237.875604894121</v>
      </c>
    </row>
    <row r="98" spans="1:15" ht="12" customHeight="1" x14ac:dyDescent="0.2">
      <c r="A98" s="157" t="s">
        <v>93</v>
      </c>
      <c r="B98" s="142">
        <v>176465.24671668382</v>
      </c>
      <c r="C98" s="155">
        <v>47310.201394867363</v>
      </c>
      <c r="D98" s="153">
        <v>30681.46465158428</v>
      </c>
      <c r="E98" s="155">
        <v>28408.524898080115</v>
      </c>
      <c r="F98" s="155">
        <v>22063.935141935341</v>
      </c>
      <c r="G98" s="153">
        <v>12390.991007198858</v>
      </c>
      <c r="H98" s="155">
        <v>16173.896207405251</v>
      </c>
      <c r="I98" s="153">
        <v>8575.3016337335466</v>
      </c>
      <c r="J98" s="155">
        <v>3491.6872900025592</v>
      </c>
      <c r="K98" s="153">
        <v>6375.9741733382843</v>
      </c>
      <c r="L98" s="155">
        <v>993.27031853819301</v>
      </c>
      <c r="M98" s="143">
        <v>77991.666046451646</v>
      </c>
      <c r="N98" s="137">
        <v>79037.34725461957</v>
      </c>
      <c r="O98" s="144">
        <v>19436.233415612583</v>
      </c>
    </row>
    <row r="99" spans="1:15" ht="12" customHeight="1" x14ac:dyDescent="0.2">
      <c r="A99" s="157" t="s">
        <v>94</v>
      </c>
      <c r="B99" s="142">
        <v>88490.016871116473</v>
      </c>
      <c r="C99" s="155">
        <v>23301.010085142192</v>
      </c>
      <c r="D99" s="153">
        <v>15801.976204442428</v>
      </c>
      <c r="E99" s="155">
        <v>12946.973724800579</v>
      </c>
      <c r="F99" s="155">
        <v>14286.28994647497</v>
      </c>
      <c r="G99" s="153">
        <v>5925.2420974432507</v>
      </c>
      <c r="H99" s="155">
        <v>6558.5752524846375</v>
      </c>
      <c r="I99" s="153">
        <v>4242.611289990602</v>
      </c>
      <c r="J99" s="155">
        <v>1817.936475076008</v>
      </c>
      <c r="K99" s="153">
        <v>3111.6425872863338</v>
      </c>
      <c r="L99" s="155">
        <v>497.75920797547855</v>
      </c>
      <c r="M99" s="143">
        <v>39102.986289584616</v>
      </c>
      <c r="N99" s="137">
        <v>39717.081021203441</v>
      </c>
      <c r="O99" s="144">
        <v>9669.9495603284213</v>
      </c>
    </row>
    <row r="100" spans="1:15" ht="12" customHeight="1" x14ac:dyDescent="0.2">
      <c r="A100" s="157" t="s">
        <v>95</v>
      </c>
      <c r="B100" s="142">
        <v>75546.159592926022</v>
      </c>
      <c r="C100" s="155">
        <v>18809.478622802802</v>
      </c>
      <c r="D100" s="153">
        <v>12906.12427244798</v>
      </c>
      <c r="E100" s="155">
        <v>11021.894610177416</v>
      </c>
      <c r="F100" s="155">
        <v>11525.350463690729</v>
      </c>
      <c r="G100" s="153">
        <v>5436.421482861706</v>
      </c>
      <c r="H100" s="155">
        <v>6404.7948521077988</v>
      </c>
      <c r="I100" s="153">
        <v>3806.8026873488598</v>
      </c>
      <c r="J100" s="155">
        <v>2106.5173924900523</v>
      </c>
      <c r="K100" s="153">
        <v>3079.0822180540181</v>
      </c>
      <c r="L100" s="155">
        <v>449.69299094465583</v>
      </c>
      <c r="M100" s="143">
        <v>31715.602895250784</v>
      </c>
      <c r="N100" s="137">
        <v>34388.461408837647</v>
      </c>
      <c r="O100" s="144">
        <v>9442.095288837585</v>
      </c>
    </row>
    <row r="101" spans="1:15" ht="12" customHeight="1" x14ac:dyDescent="0.2">
      <c r="A101" s="157" t="s">
        <v>96</v>
      </c>
      <c r="B101" s="142">
        <v>49397.007119602036</v>
      </c>
      <c r="C101" s="155">
        <v>14213.729115274989</v>
      </c>
      <c r="D101" s="153">
        <v>8311.9037879755215</v>
      </c>
      <c r="E101" s="155">
        <v>6439.5361835054091</v>
      </c>
      <c r="F101" s="155">
        <v>7158.3990916991261</v>
      </c>
      <c r="G101" s="153">
        <v>3771.4906605572387</v>
      </c>
      <c r="H101" s="155">
        <v>3856.0464399193847</v>
      </c>
      <c r="I101" s="153">
        <v>2492.7755242972767</v>
      </c>
      <c r="J101" s="155">
        <v>1238.9971835675117</v>
      </c>
      <c r="K101" s="153">
        <v>1573.8613359739961</v>
      </c>
      <c r="L101" s="155">
        <v>340.26779683157685</v>
      </c>
      <c r="M101" s="143">
        <v>22525.632903250509</v>
      </c>
      <c r="N101" s="137">
        <v>21225.472375681158</v>
      </c>
      <c r="O101" s="144">
        <v>5645.9018406703617</v>
      </c>
    </row>
    <row r="102" spans="1:15" ht="12" customHeight="1" x14ac:dyDescent="0.2">
      <c r="A102" s="157" t="s">
        <v>97</v>
      </c>
      <c r="B102" s="142">
        <v>372814.0978976303</v>
      </c>
      <c r="C102" s="155">
        <v>105436.46162704898</v>
      </c>
      <c r="D102" s="153">
        <v>64211.167727034197</v>
      </c>
      <c r="E102" s="155">
        <v>40732.018937311354</v>
      </c>
      <c r="F102" s="155">
        <v>63587.347211143715</v>
      </c>
      <c r="G102" s="153">
        <v>30647.813681350632</v>
      </c>
      <c r="H102" s="155">
        <v>28907.200733437901</v>
      </c>
      <c r="I102" s="153">
        <v>17218.953328869306</v>
      </c>
      <c r="J102" s="155">
        <v>8067.5417050216693</v>
      </c>
      <c r="K102" s="153">
        <v>11644.493987481141</v>
      </c>
      <c r="L102" s="155">
        <v>2361.0989589314158</v>
      </c>
      <c r="M102" s="143">
        <v>169647.62935408318</v>
      </c>
      <c r="N102" s="137">
        <v>163874.38056324361</v>
      </c>
      <c r="O102" s="144">
        <v>39292.087980303535</v>
      </c>
    </row>
    <row r="103" spans="1:15" ht="12" customHeight="1" x14ac:dyDescent="0.2">
      <c r="A103" s="157" t="s">
        <v>98</v>
      </c>
      <c r="B103" s="142">
        <v>641469.71634482825</v>
      </c>
      <c r="C103" s="155">
        <v>176417.23402014311</v>
      </c>
      <c r="D103" s="153">
        <v>112616.61939804105</v>
      </c>
      <c r="E103" s="155">
        <v>87141.680245024967</v>
      </c>
      <c r="F103" s="155">
        <v>91156.632411787374</v>
      </c>
      <c r="G103" s="153">
        <v>52183.514810766908</v>
      </c>
      <c r="H103" s="155">
        <v>49288.091946830034</v>
      </c>
      <c r="I103" s="153">
        <v>32128.126307342252</v>
      </c>
      <c r="J103" s="155">
        <v>14847.624861655841</v>
      </c>
      <c r="K103" s="153">
        <v>22123.619477164164</v>
      </c>
      <c r="L103" s="155">
        <v>3566.572866072584</v>
      </c>
      <c r="M103" s="143">
        <v>289033.85341818415</v>
      </c>
      <c r="N103" s="137">
        <v>279769.91941440932</v>
      </c>
      <c r="O103" s="144">
        <v>72665.943512234837</v>
      </c>
    </row>
    <row r="104" spans="1:15" ht="12" customHeight="1" x14ac:dyDescent="0.2">
      <c r="A104" s="157" t="s">
        <v>99</v>
      </c>
      <c r="B104" s="142">
        <v>728473.49421123182</v>
      </c>
      <c r="C104" s="155">
        <v>200820.16854439935</v>
      </c>
      <c r="D104" s="153">
        <v>135222.23657065921</v>
      </c>
      <c r="E104" s="155">
        <v>82846.954438604575</v>
      </c>
      <c r="F104" s="155">
        <v>121311.57013048782</v>
      </c>
      <c r="G104" s="153">
        <v>48369.634323840335</v>
      </c>
      <c r="H104" s="155">
        <v>54618.706928759289</v>
      </c>
      <c r="I104" s="153">
        <v>41262.702835993048</v>
      </c>
      <c r="J104" s="155">
        <v>18305.115035910072</v>
      </c>
      <c r="K104" s="153">
        <v>21982.08208903185</v>
      </c>
      <c r="L104" s="155">
        <v>3734.3233135464125</v>
      </c>
      <c r="M104" s="143">
        <v>336042.40511505853</v>
      </c>
      <c r="N104" s="137">
        <v>307146.86582169204</v>
      </c>
      <c r="O104" s="144">
        <v>85284.223274481381</v>
      </c>
    </row>
    <row r="105" spans="1:15" ht="12" customHeight="1" x14ac:dyDescent="0.2">
      <c r="A105" s="157" t="s">
        <v>100</v>
      </c>
      <c r="B105" s="142">
        <v>214989.91302857504</v>
      </c>
      <c r="C105" s="155">
        <v>36358.8377553963</v>
      </c>
      <c r="D105" s="153">
        <v>25386.600272250194</v>
      </c>
      <c r="E105" s="155">
        <v>25312.617552656793</v>
      </c>
      <c r="F105" s="155">
        <v>50234.15688761467</v>
      </c>
      <c r="G105" s="153">
        <v>26496.370954456554</v>
      </c>
      <c r="H105" s="155">
        <v>19750.337843541551</v>
      </c>
      <c r="I105" s="153">
        <v>16256.534228377217</v>
      </c>
      <c r="J105" s="155">
        <v>7555.9964831077759</v>
      </c>
      <c r="K105" s="153">
        <v>6378.8161748021657</v>
      </c>
      <c r="L105" s="155">
        <v>1259.644876371799</v>
      </c>
      <c r="M105" s="143">
        <v>61745.438027646494</v>
      </c>
      <c r="N105" s="137">
        <v>121793.48323826956</v>
      </c>
      <c r="O105" s="144">
        <v>31450.991762658959</v>
      </c>
    </row>
    <row r="106" spans="1:15" x14ac:dyDescent="0.2">
      <c r="A106" s="157" t="s">
        <v>101</v>
      </c>
      <c r="B106" s="142">
        <v>291218.55525060085</v>
      </c>
      <c r="C106" s="155">
        <v>66816.638926369953</v>
      </c>
      <c r="D106" s="153">
        <v>66835.250557070598</v>
      </c>
      <c r="E106" s="155">
        <v>80356.995511527872</v>
      </c>
      <c r="F106" s="155">
        <v>29622.492798184976</v>
      </c>
      <c r="G106" s="153">
        <v>4508.6888455461012</v>
      </c>
      <c r="H106" s="155">
        <v>16466.584259776369</v>
      </c>
      <c r="I106" s="153">
        <v>14508.843671467272</v>
      </c>
      <c r="J106" s="155">
        <v>2633.7957283491705</v>
      </c>
      <c r="K106" s="153">
        <v>6459.9821085889853</v>
      </c>
      <c r="L106" s="155">
        <v>3009.2828437195458</v>
      </c>
      <c r="M106" s="143">
        <v>133651.88948344055</v>
      </c>
      <c r="N106" s="137">
        <v>130954.76141503532</v>
      </c>
      <c r="O106" s="144">
        <v>26611.904352124973</v>
      </c>
    </row>
    <row r="107" spans="1:15" x14ac:dyDescent="0.2">
      <c r="A107" s="154"/>
      <c r="B107" s="142"/>
      <c r="C107" s="158"/>
      <c r="D107" s="146"/>
      <c r="E107" s="158"/>
      <c r="F107" s="158"/>
      <c r="G107" s="146"/>
      <c r="H107" s="158"/>
      <c r="I107" s="146"/>
      <c r="J107" s="158"/>
      <c r="K107" s="146"/>
      <c r="L107" s="158"/>
      <c r="M107" s="143"/>
      <c r="N107" s="137"/>
      <c r="O107" s="144"/>
    </row>
    <row r="108" spans="1:15" ht="16" x14ac:dyDescent="0.2">
      <c r="A108" s="156" t="s">
        <v>102</v>
      </c>
      <c r="B108" s="142"/>
      <c r="C108" s="159"/>
      <c r="D108" s="137"/>
      <c r="E108" s="159"/>
      <c r="F108" s="159"/>
      <c r="G108" s="137"/>
      <c r="H108" s="159"/>
      <c r="I108" s="137"/>
      <c r="J108" s="159"/>
      <c r="K108" s="137"/>
      <c r="L108" s="159"/>
      <c r="M108" s="143"/>
      <c r="N108" s="137"/>
      <c r="O108" s="144"/>
    </row>
    <row r="109" spans="1:15" ht="12" customHeight="1" x14ac:dyDescent="0.2">
      <c r="A109" s="157" t="s">
        <v>92</v>
      </c>
      <c r="B109" s="142">
        <f t="shared" si="35"/>
        <v>10</v>
      </c>
      <c r="C109" s="159">
        <v>1</v>
      </c>
      <c r="D109" s="137">
        <v>1</v>
      </c>
      <c r="E109" s="159">
        <v>1</v>
      </c>
      <c r="F109" s="159">
        <v>1</v>
      </c>
      <c r="G109" s="137">
        <v>1</v>
      </c>
      <c r="H109" s="159">
        <v>1</v>
      </c>
      <c r="I109" s="137">
        <v>1</v>
      </c>
      <c r="J109" s="159">
        <v>1</v>
      </c>
      <c r="K109" s="137">
        <v>1</v>
      </c>
      <c r="L109" s="159">
        <v>1</v>
      </c>
      <c r="M109" s="143">
        <f t="shared" ref="M109:M118" si="37">SUM(C109:D109)</f>
        <v>2</v>
      </c>
      <c r="N109" s="137">
        <f t="shared" ref="N109:N118" si="38">SUM(E109:H109)</f>
        <v>4</v>
      </c>
      <c r="O109" s="144">
        <f t="shared" ref="O109:O118" si="39">SUM(I109:L109)</f>
        <v>4</v>
      </c>
    </row>
    <row r="110" spans="1:15" ht="12" customHeight="1" x14ac:dyDescent="0.2">
      <c r="A110" s="157" t="s">
        <v>93</v>
      </c>
      <c r="B110" s="142">
        <f t="shared" si="35"/>
        <v>10</v>
      </c>
      <c r="C110" s="159">
        <v>1</v>
      </c>
      <c r="D110" s="137">
        <v>1</v>
      </c>
      <c r="E110" s="159">
        <v>1</v>
      </c>
      <c r="F110" s="159">
        <v>1</v>
      </c>
      <c r="G110" s="137">
        <v>1</v>
      </c>
      <c r="H110" s="159">
        <v>1</v>
      </c>
      <c r="I110" s="137">
        <v>1</v>
      </c>
      <c r="J110" s="159">
        <v>1</v>
      </c>
      <c r="K110" s="137">
        <v>1</v>
      </c>
      <c r="L110" s="159">
        <v>1</v>
      </c>
      <c r="M110" s="143">
        <f t="shared" si="37"/>
        <v>2</v>
      </c>
      <c r="N110" s="137">
        <f t="shared" si="38"/>
        <v>4</v>
      </c>
      <c r="O110" s="144">
        <f t="shared" si="39"/>
        <v>4</v>
      </c>
    </row>
    <row r="111" spans="1:15" ht="12" customHeight="1" x14ac:dyDescent="0.2">
      <c r="A111" s="157" t="s">
        <v>94</v>
      </c>
      <c r="B111" s="142">
        <f t="shared" si="35"/>
        <v>10</v>
      </c>
      <c r="C111" s="159">
        <v>1</v>
      </c>
      <c r="D111" s="137">
        <v>1</v>
      </c>
      <c r="E111" s="159">
        <v>1</v>
      </c>
      <c r="F111" s="159">
        <v>1</v>
      </c>
      <c r="G111" s="137">
        <v>1</v>
      </c>
      <c r="H111" s="159">
        <v>1</v>
      </c>
      <c r="I111" s="137">
        <v>1</v>
      </c>
      <c r="J111" s="159">
        <v>1</v>
      </c>
      <c r="K111" s="137">
        <v>1</v>
      </c>
      <c r="L111" s="159">
        <v>1</v>
      </c>
      <c r="M111" s="143">
        <f t="shared" si="37"/>
        <v>2</v>
      </c>
      <c r="N111" s="137">
        <f t="shared" si="38"/>
        <v>4</v>
      </c>
      <c r="O111" s="144">
        <f t="shared" si="39"/>
        <v>4</v>
      </c>
    </row>
    <row r="112" spans="1:15" ht="12" customHeight="1" x14ac:dyDescent="0.2">
      <c r="A112" s="157" t="s">
        <v>95</v>
      </c>
      <c r="B112" s="142">
        <f t="shared" si="35"/>
        <v>10</v>
      </c>
      <c r="C112" s="159">
        <v>1</v>
      </c>
      <c r="D112" s="137">
        <v>1</v>
      </c>
      <c r="E112" s="159">
        <v>1</v>
      </c>
      <c r="F112" s="159">
        <v>1</v>
      </c>
      <c r="G112" s="137">
        <v>1</v>
      </c>
      <c r="H112" s="159">
        <v>1</v>
      </c>
      <c r="I112" s="137">
        <v>1</v>
      </c>
      <c r="J112" s="159">
        <v>1</v>
      </c>
      <c r="K112" s="137">
        <v>1</v>
      </c>
      <c r="L112" s="159">
        <v>1</v>
      </c>
      <c r="M112" s="143">
        <f t="shared" si="37"/>
        <v>2</v>
      </c>
      <c r="N112" s="137">
        <f t="shared" si="38"/>
        <v>4</v>
      </c>
      <c r="O112" s="144">
        <f t="shared" si="39"/>
        <v>4</v>
      </c>
    </row>
    <row r="113" spans="1:15" ht="12" customHeight="1" x14ac:dyDescent="0.2">
      <c r="A113" s="157" t="s">
        <v>96</v>
      </c>
      <c r="B113" s="142">
        <f t="shared" si="35"/>
        <v>10</v>
      </c>
      <c r="C113" s="159">
        <v>1</v>
      </c>
      <c r="D113" s="137">
        <v>1</v>
      </c>
      <c r="E113" s="159">
        <v>1</v>
      </c>
      <c r="F113" s="159">
        <v>1</v>
      </c>
      <c r="G113" s="137">
        <v>1</v>
      </c>
      <c r="H113" s="159">
        <v>1</v>
      </c>
      <c r="I113" s="137">
        <v>1</v>
      </c>
      <c r="J113" s="159">
        <v>1</v>
      </c>
      <c r="K113" s="137">
        <v>1</v>
      </c>
      <c r="L113" s="159">
        <v>1</v>
      </c>
      <c r="M113" s="143">
        <f t="shared" si="37"/>
        <v>2</v>
      </c>
      <c r="N113" s="137">
        <f t="shared" si="38"/>
        <v>4</v>
      </c>
      <c r="O113" s="144">
        <f t="shared" si="39"/>
        <v>4</v>
      </c>
    </row>
    <row r="114" spans="1:15" ht="12" customHeight="1" x14ac:dyDescent="0.2">
      <c r="A114" s="157" t="s">
        <v>97</v>
      </c>
      <c r="B114" s="142">
        <f t="shared" si="35"/>
        <v>18278.78062478987</v>
      </c>
      <c r="C114" s="159">
        <v>4524.6057133057839</v>
      </c>
      <c r="D114" s="137">
        <v>3818.8140003355365</v>
      </c>
      <c r="E114" s="159">
        <v>1779.6370562906907</v>
      </c>
      <c r="F114" s="159">
        <v>2924.7556592927294</v>
      </c>
      <c r="G114" s="137">
        <v>1552.9549959639667</v>
      </c>
      <c r="H114" s="159">
        <v>1513.9117993194297</v>
      </c>
      <c r="I114" s="137">
        <v>1043.9358840170212</v>
      </c>
      <c r="J114" s="159">
        <v>362.4239735337091</v>
      </c>
      <c r="K114" s="137">
        <v>652.61005216066883</v>
      </c>
      <c r="L114" s="159">
        <v>105.13149057033277</v>
      </c>
      <c r="M114" s="143">
        <f t="shared" si="37"/>
        <v>8343.4197136413204</v>
      </c>
      <c r="N114" s="137">
        <f t="shared" si="38"/>
        <v>7771.2595108668165</v>
      </c>
      <c r="O114" s="144">
        <f t="shared" si="39"/>
        <v>2164.1014002817319</v>
      </c>
    </row>
    <row r="115" spans="1:15" ht="12" customHeight="1" x14ac:dyDescent="0.2">
      <c r="A115" s="157" t="s">
        <v>98</v>
      </c>
      <c r="B115" s="142">
        <f t="shared" si="35"/>
        <v>627.66655366956491</v>
      </c>
      <c r="C115" s="159">
        <v>188.6573687206587</v>
      </c>
      <c r="D115" s="137">
        <v>99.350956419264406</v>
      </c>
      <c r="E115" s="159">
        <v>78.947227348474286</v>
      </c>
      <c r="F115" s="159">
        <v>84.4134156649434</v>
      </c>
      <c r="G115" s="137">
        <v>61.566547509589192</v>
      </c>
      <c r="H115" s="159">
        <v>51.553652067881295</v>
      </c>
      <c r="I115" s="137">
        <v>29.749353926617765</v>
      </c>
      <c r="J115" s="159">
        <v>12.072980129280339</v>
      </c>
      <c r="K115" s="137">
        <v>18.137267245578059</v>
      </c>
      <c r="L115" s="159">
        <v>3.2177846372772709</v>
      </c>
      <c r="M115" s="143">
        <f t="shared" si="37"/>
        <v>288.0083251399231</v>
      </c>
      <c r="N115" s="137">
        <f t="shared" si="38"/>
        <v>276.48084259088819</v>
      </c>
      <c r="O115" s="144">
        <f t="shared" si="39"/>
        <v>63.177385938753432</v>
      </c>
    </row>
    <row r="116" spans="1:15" ht="12" customHeight="1" x14ac:dyDescent="0.2">
      <c r="A116" s="157" t="s">
        <v>99</v>
      </c>
      <c r="B116" s="142">
        <f t="shared" si="35"/>
        <v>930.24239694182279</v>
      </c>
      <c r="C116" s="159">
        <v>277.81772311785994</v>
      </c>
      <c r="D116" s="137">
        <v>157.14809821464266</v>
      </c>
      <c r="E116" s="159">
        <v>72.768149335027147</v>
      </c>
      <c r="F116" s="159">
        <v>192.28545211791956</v>
      </c>
      <c r="G116" s="137">
        <v>55.307668109953653</v>
      </c>
      <c r="H116" s="159">
        <v>64.277518042414869</v>
      </c>
      <c r="I116" s="137">
        <v>55.236784380456314</v>
      </c>
      <c r="J116" s="159">
        <v>26.180659730458149</v>
      </c>
      <c r="K116" s="137">
        <v>24.326898377960376</v>
      </c>
      <c r="L116" s="159">
        <v>4.8934455151300904</v>
      </c>
      <c r="M116" s="143">
        <f t="shared" si="37"/>
        <v>434.96582133250263</v>
      </c>
      <c r="N116" s="137">
        <f t="shared" si="38"/>
        <v>384.6387876053152</v>
      </c>
      <c r="O116" s="144">
        <f t="shared" si="39"/>
        <v>110.63778800400493</v>
      </c>
    </row>
    <row r="117" spans="1:15" ht="12" customHeight="1" x14ac:dyDescent="0.2">
      <c r="A117" s="157" t="s">
        <v>100</v>
      </c>
      <c r="B117" s="142">
        <f t="shared" si="35"/>
        <v>52048.992331918511</v>
      </c>
      <c r="C117" s="159">
        <v>8123.21338694727</v>
      </c>
      <c r="D117" s="137">
        <v>5381.1188456042719</v>
      </c>
      <c r="E117" s="159">
        <v>6201.099796726875</v>
      </c>
      <c r="F117" s="159">
        <v>11190.073078537891</v>
      </c>
      <c r="G117" s="137">
        <v>7391.0627602123577</v>
      </c>
      <c r="H117" s="159">
        <v>5977.2051748527183</v>
      </c>
      <c r="I117" s="137">
        <v>3403.1882183062712</v>
      </c>
      <c r="J117" s="159">
        <v>2227.0860226665113</v>
      </c>
      <c r="K117" s="137">
        <v>1829.9747293954567</v>
      </c>
      <c r="L117" s="159">
        <v>324.97031866889432</v>
      </c>
      <c r="M117" s="143">
        <f t="shared" si="37"/>
        <v>13504.332232551542</v>
      </c>
      <c r="N117" s="137">
        <f t="shared" si="38"/>
        <v>30759.440810329841</v>
      </c>
      <c r="O117" s="144">
        <f t="shared" si="39"/>
        <v>7785.2192890371334</v>
      </c>
    </row>
    <row r="118" spans="1:15" ht="12" customHeight="1" x14ac:dyDescent="0.2">
      <c r="A118" s="157" t="s">
        <v>101</v>
      </c>
      <c r="B118" s="142">
        <f>SUM(D118:L118)</f>
        <v>33</v>
      </c>
      <c r="C118" s="159">
        <v>5</v>
      </c>
      <c r="D118" s="137">
        <v>3</v>
      </c>
      <c r="E118" s="159">
        <v>2</v>
      </c>
      <c r="F118" s="159">
        <v>4</v>
      </c>
      <c r="G118" s="137">
        <v>4</v>
      </c>
      <c r="H118" s="159">
        <v>2</v>
      </c>
      <c r="I118" s="137">
        <v>5</v>
      </c>
      <c r="J118" s="159">
        <v>6</v>
      </c>
      <c r="K118" s="137">
        <v>5</v>
      </c>
      <c r="L118" s="159">
        <v>2</v>
      </c>
      <c r="M118" s="143">
        <f t="shared" si="37"/>
        <v>8</v>
      </c>
      <c r="N118" s="137">
        <f t="shared" si="38"/>
        <v>12</v>
      </c>
      <c r="O118" s="144">
        <f t="shared" si="39"/>
        <v>18</v>
      </c>
    </row>
    <row r="119" spans="1:15" ht="12" customHeight="1" x14ac:dyDescent="0.2">
      <c r="A119" s="157"/>
      <c r="B119" s="142"/>
      <c r="C119" s="159"/>
      <c r="D119" s="137"/>
      <c r="E119" s="159"/>
      <c r="F119" s="159"/>
      <c r="G119" s="137"/>
      <c r="H119" s="159"/>
      <c r="I119" s="137"/>
      <c r="J119" s="159"/>
      <c r="K119" s="137"/>
      <c r="L119" s="159"/>
      <c r="M119" s="143"/>
      <c r="N119" s="137"/>
      <c r="O119" s="144"/>
    </row>
    <row r="120" spans="1:15" ht="16" x14ac:dyDescent="0.2">
      <c r="A120" s="147" t="s">
        <v>103</v>
      </c>
      <c r="B120" s="160"/>
      <c r="C120" s="161"/>
      <c r="D120" s="161"/>
      <c r="E120" s="161"/>
      <c r="F120" s="161"/>
      <c r="G120" s="161"/>
      <c r="H120" s="161"/>
      <c r="I120" s="161"/>
      <c r="J120" s="161"/>
      <c r="K120" s="161"/>
      <c r="L120" s="161"/>
      <c r="M120" s="162"/>
      <c r="N120" s="163"/>
      <c r="O120" s="164"/>
    </row>
    <row r="121" spans="1:15" ht="16" x14ac:dyDescent="0.2">
      <c r="A121" s="165" t="s">
        <v>104</v>
      </c>
      <c r="B121" s="142">
        <f t="shared" ref="B121:B123" si="40">SUM(C121:L121)</f>
        <v>413117.73619510856</v>
      </c>
      <c r="C121" s="166">
        <v>113467.6622600046</v>
      </c>
      <c r="D121" s="166">
        <v>106143.93961392363</v>
      </c>
      <c r="E121" s="166">
        <v>40163.808390765567</v>
      </c>
      <c r="F121" s="166">
        <v>78389.323887969047</v>
      </c>
      <c r="G121" s="166">
        <v>40276.940053350918</v>
      </c>
      <c r="H121" s="166">
        <v>7575.5922074743976</v>
      </c>
      <c r="I121" s="166">
        <v>11988.921805903337</v>
      </c>
      <c r="J121" s="166">
        <v>6961.8728090718378</v>
      </c>
      <c r="K121" s="166">
        <v>2973.977716465703</v>
      </c>
      <c r="L121" s="166">
        <v>5175.697450179523</v>
      </c>
      <c r="M121" s="143">
        <f>SUM(C121:D121)</f>
        <v>219611.60187392822</v>
      </c>
      <c r="N121" s="137">
        <f>SUM(E121:H121)</f>
        <v>166405.66453955992</v>
      </c>
      <c r="O121" s="144">
        <f>SUM(I121:L121)</f>
        <v>27100.469781620399</v>
      </c>
    </row>
    <row r="122" spans="1:15" ht="16" x14ac:dyDescent="0.2">
      <c r="A122" s="145" t="s">
        <v>105</v>
      </c>
      <c r="B122" s="167">
        <f>SUMPRODUCT(C121:L121,C122:L122)/B121</f>
        <v>4.971492269782801</v>
      </c>
      <c r="C122" s="168">
        <v>6.2051501681570995</v>
      </c>
      <c r="D122" s="168">
        <v>4.6491591486894031</v>
      </c>
      <c r="E122" s="168">
        <v>6.8407893539524558</v>
      </c>
      <c r="F122" s="168">
        <v>3.18434327264836</v>
      </c>
      <c r="G122" s="168">
        <v>4.3793413050062604</v>
      </c>
      <c r="H122" s="168">
        <v>3.7960975732183102</v>
      </c>
      <c r="I122" s="168">
        <v>3.6178722188249601</v>
      </c>
      <c r="J122" s="168">
        <v>5.791125050974399</v>
      </c>
      <c r="K122" s="168">
        <v>6.4294733877753005</v>
      </c>
      <c r="L122" s="168">
        <v>4.6216540995100512</v>
      </c>
      <c r="M122" s="169">
        <f>SUMPRODUCT(C121:D121,C122:D122)/M121</f>
        <v>5.4530996598920627</v>
      </c>
      <c r="N122" s="168">
        <f>SUMPRODUCT(E121:G121,E122:G122)/N121</f>
        <v>4.2111375125223072</v>
      </c>
      <c r="O122" s="170">
        <f>SUMPRODUCT(H121:L121,H122:L122)/O121</f>
        <v>5.7375589992094502</v>
      </c>
    </row>
    <row r="123" spans="1:15" ht="16" x14ac:dyDescent="0.2">
      <c r="A123" s="165" t="s">
        <v>106</v>
      </c>
      <c r="B123" s="142">
        <f t="shared" si="40"/>
        <v>404252.00482802099</v>
      </c>
      <c r="C123" s="166">
        <v>105590.31130277764</v>
      </c>
      <c r="D123" s="166">
        <v>101349.47725534085</v>
      </c>
      <c r="E123" s="166">
        <v>43047.4786732422</v>
      </c>
      <c r="F123" s="166">
        <v>75798.413226535471</v>
      </c>
      <c r="G123" s="166">
        <v>43814.67208366788</v>
      </c>
      <c r="H123" s="166">
        <v>7745.2668307291451</v>
      </c>
      <c r="I123" s="166">
        <v>11919.112770237965</v>
      </c>
      <c r="J123" s="166">
        <v>6783.1677188030299</v>
      </c>
      <c r="K123" s="166">
        <v>2724.6008414790726</v>
      </c>
      <c r="L123" s="166">
        <v>5479.5041252076699</v>
      </c>
      <c r="M123" s="143">
        <f t="shared" ref="M123" si="41">SUM(C123:D123)</f>
        <v>206939.78855811851</v>
      </c>
      <c r="N123" s="137">
        <f t="shared" ref="N123" si="42">SUM(E123:H123)</f>
        <v>170405.8308141747</v>
      </c>
      <c r="O123" s="144">
        <f t="shared" ref="O123" si="43">SUM(I123:L123)</f>
        <v>26906.385455727741</v>
      </c>
    </row>
    <row r="124" spans="1:15" ht="16" x14ac:dyDescent="0.2">
      <c r="A124" s="145" t="s">
        <v>107</v>
      </c>
      <c r="B124" s="167">
        <f>SUMPRODUCT(C123:L123,C124:L124)/B123</f>
        <v>3.8886075103882169</v>
      </c>
      <c r="C124" s="168">
        <v>5.4427471749947998</v>
      </c>
      <c r="D124" s="168">
        <v>3.2205626878553621</v>
      </c>
      <c r="E124" s="168">
        <v>5.0230074609602804</v>
      </c>
      <c r="F124" s="168">
        <v>2.3639877088890899</v>
      </c>
      <c r="G124" s="168">
        <v>3.9238473599666222</v>
      </c>
      <c r="H124" s="168">
        <v>2.0282399227460801</v>
      </c>
      <c r="I124" s="168">
        <v>2.1669897906066127</v>
      </c>
      <c r="J124" s="168">
        <v>4.5400199152201601</v>
      </c>
      <c r="K124" s="168">
        <v>5.0169824699319197</v>
      </c>
      <c r="L124" s="168">
        <v>3.2</v>
      </c>
      <c r="M124" s="169">
        <f>SUMPRODUCT(C123:D123,C124:D124)/M123</f>
        <v>4.3544246358362271</v>
      </c>
      <c r="N124" s="168">
        <f>SUMPRODUCT(E123:G123,E124:G124)/N123</f>
        <v>3.3293250967100212</v>
      </c>
      <c r="O124" s="170">
        <f>SUMPRODUCT(H123:L123,H124:L124)/O123</f>
        <v>3.8480553118713616</v>
      </c>
    </row>
    <row r="125" spans="1:15" x14ac:dyDescent="0.2">
      <c r="A125" s="138"/>
      <c r="B125" s="171"/>
      <c r="C125" s="166"/>
      <c r="D125" s="166"/>
      <c r="E125" s="166"/>
      <c r="F125" s="166"/>
      <c r="G125" s="166"/>
      <c r="H125" s="166"/>
      <c r="I125" s="166"/>
      <c r="J125" s="166"/>
      <c r="K125" s="166"/>
      <c r="L125" s="166"/>
      <c r="M125" s="138"/>
      <c r="N125" s="139"/>
      <c r="O125" s="140"/>
    </row>
    <row r="126" spans="1:15" ht="16" x14ac:dyDescent="0.2">
      <c r="A126" s="135" t="s">
        <v>108</v>
      </c>
      <c r="B126" s="136"/>
      <c r="C126" s="172"/>
      <c r="D126" s="173"/>
      <c r="E126" s="139"/>
      <c r="F126" s="139"/>
      <c r="G126" s="139"/>
      <c r="H126" s="151"/>
      <c r="I126" s="151"/>
      <c r="J126" s="151"/>
      <c r="K126" s="139"/>
      <c r="L126" s="151"/>
      <c r="M126" s="138"/>
      <c r="N126" s="139"/>
      <c r="O126" s="140"/>
    </row>
    <row r="127" spans="1:15" ht="16" x14ac:dyDescent="0.2">
      <c r="A127" s="145" t="s">
        <v>43</v>
      </c>
      <c r="B127" s="142">
        <f>SUM(C127:L127)</f>
        <v>4470880.342282299</v>
      </c>
      <c r="C127" s="137">
        <f t="shared" ref="C127:L127" si="44">+C6</f>
        <v>1128876.6985259999</v>
      </c>
      <c r="D127" s="137">
        <f t="shared" si="44"/>
        <v>856762</v>
      </c>
      <c r="E127" s="137">
        <f t="shared" si="44"/>
        <v>686056</v>
      </c>
      <c r="F127" s="137">
        <f t="shared" si="44"/>
        <v>668423.61617399997</v>
      </c>
      <c r="G127" s="137">
        <f t="shared" si="44"/>
        <v>403225</v>
      </c>
      <c r="H127" s="137">
        <f t="shared" si="44"/>
        <v>241385.5</v>
      </c>
      <c r="I127" s="137">
        <f t="shared" si="44"/>
        <v>210845.5534725</v>
      </c>
      <c r="J127" s="137">
        <f t="shared" si="44"/>
        <v>86622.051774799998</v>
      </c>
      <c r="K127" s="137">
        <f t="shared" si="44"/>
        <v>108747.922335</v>
      </c>
      <c r="L127" s="137">
        <f t="shared" si="44"/>
        <v>79936</v>
      </c>
      <c r="M127" s="143">
        <f>SUM(C127:D127)</f>
        <v>1985638.6985259999</v>
      </c>
      <c r="N127" s="137">
        <f>SUM(E127:H127)</f>
        <v>1999090.1161739998</v>
      </c>
      <c r="O127" s="144">
        <f>SUM(I127:L127)</f>
        <v>486151.52758230001</v>
      </c>
    </row>
    <row r="128" spans="1:15" ht="16" x14ac:dyDescent="0.2">
      <c r="A128" s="174" t="s">
        <v>109</v>
      </c>
      <c r="B128" s="142">
        <f t="shared" ref="B128:B137" si="45">SUM(C128:L128)</f>
        <v>3102111.7010085527</v>
      </c>
      <c r="C128" s="137">
        <v>937009.47376231628</v>
      </c>
      <c r="D128" s="137">
        <v>570624.4128071107</v>
      </c>
      <c r="E128" s="137">
        <v>458777.27760990302</v>
      </c>
      <c r="F128" s="137">
        <v>398031.31032989745</v>
      </c>
      <c r="G128" s="137">
        <v>314716.31129379047</v>
      </c>
      <c r="H128" s="137">
        <v>108109.61270548997</v>
      </c>
      <c r="I128" s="137">
        <v>128101.39036599224</v>
      </c>
      <c r="J128" s="137">
        <v>50437.689972422486</v>
      </c>
      <c r="K128" s="137">
        <v>89160.973413293963</v>
      </c>
      <c r="L128" s="137">
        <v>47143.248748335885</v>
      </c>
      <c r="M128" s="143">
        <f>SUM(C128:D128)</f>
        <v>1507633.8865694269</v>
      </c>
      <c r="N128" s="137">
        <f>SUM(E128:H128)</f>
        <v>1279634.5119390809</v>
      </c>
      <c r="O128" s="144">
        <f>SUM(I128:L128)</f>
        <v>314843.30250004458</v>
      </c>
    </row>
    <row r="129" spans="1:15" ht="16" x14ac:dyDescent="0.2">
      <c r="A129" s="174" t="s">
        <v>110</v>
      </c>
      <c r="B129" s="142">
        <f t="shared" si="45"/>
        <v>638039.36066578748</v>
      </c>
      <c r="C129" s="137">
        <v>30062.236237683697</v>
      </c>
      <c r="D129" s="137">
        <v>54385.025544579257</v>
      </c>
      <c r="E129" s="137">
        <v>106915.80239009699</v>
      </c>
      <c r="F129" s="137">
        <v>206163.38967010254</v>
      </c>
      <c r="G129" s="137">
        <v>23145.738144209488</v>
      </c>
      <c r="H129" s="137">
        <v>120951.20729451005</v>
      </c>
      <c r="I129" s="137">
        <v>48892.420064357786</v>
      </c>
      <c r="J129" s="137">
        <v>22759.25890981749</v>
      </c>
      <c r="K129" s="137">
        <v>12413.025742826034</v>
      </c>
      <c r="L129" s="137">
        <v>12351.256667604102</v>
      </c>
      <c r="M129" s="143">
        <f>SUM(C129:D129)</f>
        <v>84447.261782262955</v>
      </c>
      <c r="N129" s="137">
        <f>SUM(E129:H129)</f>
        <v>457176.13749891904</v>
      </c>
      <c r="O129" s="144">
        <f>SUM(I129:L129)</f>
        <v>96415.961384605413</v>
      </c>
    </row>
    <row r="130" spans="1:15" ht="16" x14ac:dyDescent="0.2">
      <c r="A130" s="174" t="s">
        <v>111</v>
      </c>
      <c r="B130" s="142">
        <f t="shared" si="45"/>
        <v>196237.70488796002</v>
      </c>
      <c r="C130" s="137">
        <v>65175.789999999994</v>
      </c>
      <c r="D130" s="137">
        <v>75748.176897310041</v>
      </c>
      <c r="E130" s="137">
        <v>13613.919999999984</v>
      </c>
      <c r="F130" s="137">
        <v>11949.300000000017</v>
      </c>
      <c r="G130" s="137">
        <v>6145.4800000000105</v>
      </c>
      <c r="H130" s="137">
        <v>3592.6799999999948</v>
      </c>
      <c r="I130" s="137">
        <v>5369.6360971499889</v>
      </c>
      <c r="J130" s="137">
        <v>2535.7955365600028</v>
      </c>
      <c r="K130" s="137">
        <v>1134.491347879999</v>
      </c>
      <c r="L130" s="137">
        <v>10972.435009060002</v>
      </c>
      <c r="M130" s="143">
        <f>SUM(C130:D130)</f>
        <v>140923.96689731005</v>
      </c>
      <c r="N130" s="137">
        <f>SUM(E130:H130)</f>
        <v>35301.380000000005</v>
      </c>
      <c r="O130" s="144">
        <f>SUM(I130:L130)</f>
        <v>20012.357990649994</v>
      </c>
    </row>
    <row r="131" spans="1:15" ht="16" x14ac:dyDescent="0.2">
      <c r="A131" s="174" t="s">
        <v>112</v>
      </c>
      <c r="B131" s="142">
        <f t="shared" si="45"/>
        <v>534491.57571999985</v>
      </c>
      <c r="C131" s="137">
        <v>96629.198525999906</v>
      </c>
      <c r="D131" s="137">
        <v>156004.38475099998</v>
      </c>
      <c r="E131" s="137">
        <v>106749</v>
      </c>
      <c r="F131" s="137">
        <v>52279.616173999966</v>
      </c>
      <c r="G131" s="137">
        <v>59217.470562000002</v>
      </c>
      <c r="H131" s="137">
        <v>8732</v>
      </c>
      <c r="I131" s="137">
        <v>28482.106945</v>
      </c>
      <c r="J131" s="137">
        <v>10889.307356000019</v>
      </c>
      <c r="K131" s="137">
        <v>6039.4318310000017</v>
      </c>
      <c r="L131" s="137">
        <v>9469.0595750000066</v>
      </c>
      <c r="M131" s="143">
        <f>SUM(C131:D131)</f>
        <v>252633.58327699988</v>
      </c>
      <c r="N131" s="137">
        <f>SUM(E131:H131)</f>
        <v>226978.08673599997</v>
      </c>
      <c r="O131" s="144">
        <f>SUM(I131:L131)</f>
        <v>54879.905707000027</v>
      </c>
    </row>
    <row r="132" spans="1:15" ht="6" customHeight="1" x14ac:dyDescent="0.2">
      <c r="A132" s="174"/>
      <c r="B132" s="175"/>
      <c r="C132" s="137"/>
      <c r="D132" s="137"/>
      <c r="E132" s="137"/>
      <c r="F132" s="137"/>
      <c r="G132" s="137"/>
      <c r="H132" s="137"/>
      <c r="I132" s="137"/>
      <c r="J132" s="137"/>
      <c r="K132" s="137"/>
      <c r="L132" s="137"/>
      <c r="M132" s="138"/>
      <c r="N132" s="139"/>
      <c r="O132" s="140"/>
    </row>
    <row r="133" spans="1:15" ht="16" x14ac:dyDescent="0.2">
      <c r="A133" s="145" t="s">
        <v>56</v>
      </c>
      <c r="B133" s="142">
        <f t="shared" si="45"/>
        <v>4470880.342282299</v>
      </c>
      <c r="C133" s="137">
        <f>+SUM(C134:C137)</f>
        <v>1128876.6985259999</v>
      </c>
      <c r="D133" s="137">
        <f t="shared" ref="D133:L133" si="46">+SUM(D134:D137)</f>
        <v>856762</v>
      </c>
      <c r="E133" s="137">
        <f t="shared" si="46"/>
        <v>686056</v>
      </c>
      <c r="F133" s="137">
        <f t="shared" si="46"/>
        <v>668423.61617399997</v>
      </c>
      <c r="G133" s="137">
        <f t="shared" si="46"/>
        <v>403225</v>
      </c>
      <c r="H133" s="137">
        <f t="shared" si="46"/>
        <v>241385.5</v>
      </c>
      <c r="I133" s="137">
        <f t="shared" si="46"/>
        <v>210845.5534725</v>
      </c>
      <c r="J133" s="137">
        <f t="shared" si="46"/>
        <v>86622.051774799998</v>
      </c>
      <c r="K133" s="137">
        <f t="shared" si="46"/>
        <v>108747.922335</v>
      </c>
      <c r="L133" s="137">
        <f t="shared" si="46"/>
        <v>79936</v>
      </c>
      <c r="M133" s="143">
        <f>SUM(C133:D133)</f>
        <v>1985638.6985259999</v>
      </c>
      <c r="N133" s="137">
        <f>SUM(E133:H133)</f>
        <v>1999090.1161739998</v>
      </c>
      <c r="O133" s="144">
        <f>SUM(I133:L133)</f>
        <v>486151.52758230001</v>
      </c>
    </row>
    <row r="134" spans="1:15" ht="16" x14ac:dyDescent="0.2">
      <c r="A134" s="174" t="s">
        <v>109</v>
      </c>
      <c r="B134" s="142">
        <f t="shared" si="45"/>
        <v>2083389.7488672999</v>
      </c>
      <c r="C134" s="137">
        <v>616891.44177899999</v>
      </c>
      <c r="D134" s="137">
        <v>474987.60545999988</v>
      </c>
      <c r="E134" s="137">
        <v>246846.37498399994</v>
      </c>
      <c r="F134" s="137">
        <v>297783.75581100001</v>
      </c>
      <c r="G134" s="137">
        <v>125993.58308499999</v>
      </c>
      <c r="H134" s="137">
        <v>63297.039353</v>
      </c>
      <c r="I134" s="137">
        <v>100618.6191565</v>
      </c>
      <c r="J134" s="137">
        <v>24070.833245799993</v>
      </c>
      <c r="K134" s="137">
        <v>69690.275693999996</v>
      </c>
      <c r="L134" s="137">
        <v>63210.220298999993</v>
      </c>
      <c r="M134" s="143">
        <f>SUM(C134:D134)</f>
        <v>1091879.047239</v>
      </c>
      <c r="N134" s="137">
        <f>SUM(E134:H134)</f>
        <v>733920.75323299994</v>
      </c>
      <c r="O134" s="144">
        <f>SUM(I134:L134)</f>
        <v>257589.94839529996</v>
      </c>
    </row>
    <row r="135" spans="1:15" ht="16" x14ac:dyDescent="0.2">
      <c r="A135" s="174" t="s">
        <v>110</v>
      </c>
      <c r="B135" s="142">
        <f t="shared" si="45"/>
        <v>1742632.6898137201</v>
      </c>
      <c r="C135" s="137">
        <v>377472.65134939994</v>
      </c>
      <c r="D135" s="137">
        <v>217447.60000000009</v>
      </c>
      <c r="E135" s="137">
        <v>341142.88460799999</v>
      </c>
      <c r="F135" s="137">
        <v>282430</v>
      </c>
      <c r="G135" s="137">
        <v>229208.88338299998</v>
      </c>
      <c r="H135" s="137">
        <v>123346.66324700002</v>
      </c>
      <c r="I135" s="137">
        <v>77861.202694000007</v>
      </c>
      <c r="J135" s="137">
        <v>48687</v>
      </c>
      <c r="K135" s="137">
        <v>30693.804532320006</v>
      </c>
      <c r="L135" s="137">
        <v>14342</v>
      </c>
      <c r="M135" s="143">
        <f>SUM(C135:D135)</f>
        <v>594920.25134940003</v>
      </c>
      <c r="N135" s="137">
        <f>SUM(E135:H135)</f>
        <v>976128.43123800005</v>
      </c>
      <c r="O135" s="144">
        <f>SUM(I135:L135)</f>
        <v>171584.00722632001</v>
      </c>
    </row>
    <row r="136" spans="1:15" ht="16" x14ac:dyDescent="0.2">
      <c r="A136" s="174" t="s">
        <v>111</v>
      </c>
      <c r="B136" s="142">
        <f t="shared" si="45"/>
        <v>289778.96467168006</v>
      </c>
      <c r="C136" s="137">
        <v>64606</v>
      </c>
      <c r="D136" s="137">
        <v>75968.394540000008</v>
      </c>
      <c r="E136" s="137">
        <v>50014.740408000071</v>
      </c>
      <c r="F136" s="137">
        <v>47377.860362999956</v>
      </c>
      <c r="G136" s="137">
        <v>9463</v>
      </c>
      <c r="H136" s="137">
        <v>22045.797399999981</v>
      </c>
      <c r="I136" s="137">
        <v>16303.331621999998</v>
      </c>
      <c r="J136" s="137">
        <v>4000.2185290000052</v>
      </c>
      <c r="K136" s="137">
        <v>-0.15789132000645623</v>
      </c>
      <c r="L136" s="137">
        <v>-0.22029899999324698</v>
      </c>
      <c r="M136" s="143">
        <f>SUM(C136:D136)</f>
        <v>140574.39454000001</v>
      </c>
      <c r="N136" s="137">
        <f>SUM(E136:H136)</f>
        <v>128901.39817100001</v>
      </c>
      <c r="O136" s="144">
        <f>SUM(I136:L136)</f>
        <v>20303.171960680003</v>
      </c>
    </row>
    <row r="137" spans="1:15" ht="16" x14ac:dyDescent="0.2">
      <c r="A137" s="174" t="s">
        <v>112</v>
      </c>
      <c r="B137" s="142">
        <f t="shared" si="45"/>
        <v>355078.9389296</v>
      </c>
      <c r="C137" s="137">
        <v>69906.605397599938</v>
      </c>
      <c r="D137" s="137">
        <v>88358.400000000009</v>
      </c>
      <c r="E137" s="137">
        <v>48052</v>
      </c>
      <c r="F137" s="137">
        <v>40832</v>
      </c>
      <c r="G137" s="137">
        <v>38559.533532000009</v>
      </c>
      <c r="H137" s="137">
        <v>32696</v>
      </c>
      <c r="I137" s="137">
        <v>16062.400000000001</v>
      </c>
      <c r="J137" s="137">
        <v>9864</v>
      </c>
      <c r="K137" s="137">
        <v>8364</v>
      </c>
      <c r="L137" s="137">
        <v>2384</v>
      </c>
      <c r="M137" s="143">
        <f>SUM(C137:D137)</f>
        <v>158265.00539759995</v>
      </c>
      <c r="N137" s="137">
        <f>SUM(E137:H137)</f>
        <v>160139.533532</v>
      </c>
      <c r="O137" s="144">
        <f>SUM(I137:L137)</f>
        <v>36674.400000000001</v>
      </c>
    </row>
    <row r="138" spans="1:15" ht="7.5" customHeight="1" x14ac:dyDescent="0.2">
      <c r="A138" s="174"/>
      <c r="B138" s="142"/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43"/>
      <c r="N138" s="137"/>
      <c r="O138" s="144"/>
    </row>
    <row r="139" spans="1:15" ht="16" x14ac:dyDescent="0.2">
      <c r="A139" s="135" t="s">
        <v>113</v>
      </c>
      <c r="B139" s="142"/>
      <c r="C139" s="137"/>
      <c r="D139" s="137"/>
      <c r="E139" s="137"/>
      <c r="F139" s="137"/>
      <c r="G139" s="137"/>
      <c r="H139" s="137"/>
      <c r="I139" s="137"/>
      <c r="J139" s="137"/>
      <c r="K139" s="137"/>
      <c r="L139" s="137"/>
      <c r="M139" s="138"/>
      <c r="N139" s="139"/>
      <c r="O139" s="140"/>
    </row>
    <row r="140" spans="1:15" ht="16" x14ac:dyDescent="0.2">
      <c r="A140" s="145" t="s">
        <v>114</v>
      </c>
      <c r="B140" s="142">
        <f t="shared" ref="B140:B141" si="47">SUM(C140:L140)</f>
        <v>-14585.419158263048</v>
      </c>
      <c r="C140" s="137">
        <v>-3992.4323290747575</v>
      </c>
      <c r="D140" s="137">
        <v>-3244.5019345271726</v>
      </c>
      <c r="E140" s="137">
        <v>-1459.0407780875439</v>
      </c>
      <c r="F140" s="137">
        <v>-1529.7646059951785</v>
      </c>
      <c r="G140" s="137">
        <v>-1266.7747350784639</v>
      </c>
      <c r="H140" s="137">
        <v>-1646.9347360848824</v>
      </c>
      <c r="I140" s="137">
        <v>-586.25330376151339</v>
      </c>
      <c r="J140" s="137">
        <v>-337.65226230507494</v>
      </c>
      <c r="K140" s="137">
        <v>-437.83954437025108</v>
      </c>
      <c r="L140" s="137">
        <v>-84.224928978207672</v>
      </c>
      <c r="M140" s="143">
        <f>SUM(C140:D140)</f>
        <v>-7236.9342636019301</v>
      </c>
      <c r="N140" s="137">
        <f>SUM(E140:H140)</f>
        <v>-5902.5148552460687</v>
      </c>
      <c r="O140" s="144">
        <f>SUM(I140:L140)</f>
        <v>-1445.970039415047</v>
      </c>
    </row>
    <row r="141" spans="1:15" ht="16" x14ac:dyDescent="0.2">
      <c r="A141" s="145" t="s">
        <v>115</v>
      </c>
      <c r="B141" s="142">
        <f t="shared" si="47"/>
        <v>551314.68148548761</v>
      </c>
      <c r="C141" s="137">
        <v>159285.62439744308</v>
      </c>
      <c r="D141" s="137">
        <v>101855.88834760465</v>
      </c>
      <c r="E141" s="137">
        <v>83553.649940080955</v>
      </c>
      <c r="F141" s="137">
        <v>83006.280951698485</v>
      </c>
      <c r="G141" s="137">
        <v>33146.374611768377</v>
      </c>
      <c r="H141" s="137">
        <v>30463.164831500915</v>
      </c>
      <c r="I141" s="137">
        <v>21868.947978590782</v>
      </c>
      <c r="J141" s="137">
        <v>9199.0913268359454</v>
      </c>
      <c r="K141" s="137">
        <v>24971.884764302249</v>
      </c>
      <c r="L141" s="137">
        <v>3963.7743356621563</v>
      </c>
      <c r="M141" s="143">
        <f>SUM(C141:D141)</f>
        <v>261141.51274504774</v>
      </c>
      <c r="N141" s="137">
        <f>SUM(E141:H141)</f>
        <v>230169.47033504871</v>
      </c>
      <c r="O141" s="144">
        <f>SUM(I141:L141)</f>
        <v>60003.698405391136</v>
      </c>
    </row>
    <row r="142" spans="1:15" x14ac:dyDescent="0.2">
      <c r="A142" s="145"/>
      <c r="B142" s="142"/>
      <c r="C142" s="137"/>
      <c r="D142" s="137"/>
      <c r="E142" s="137"/>
      <c r="F142" s="137"/>
      <c r="G142" s="137"/>
      <c r="H142" s="137"/>
      <c r="I142" s="137"/>
      <c r="J142" s="137"/>
      <c r="K142" s="137"/>
      <c r="L142" s="137"/>
      <c r="M142" s="143"/>
      <c r="N142" s="137"/>
      <c r="O142" s="144"/>
    </row>
    <row r="143" spans="1:15" ht="17" thickBot="1" x14ac:dyDescent="0.25">
      <c r="A143" s="165" t="s">
        <v>116</v>
      </c>
      <c r="B143" s="142">
        <f>B13</f>
        <v>145755.20099778351</v>
      </c>
      <c r="C143" s="137">
        <f t="shared" ref="C143:O143" si="48">C13</f>
        <v>24944.626702558129</v>
      </c>
      <c r="D143" s="137">
        <f t="shared" si="48"/>
        <v>49160.273419115503</v>
      </c>
      <c r="E143" s="137">
        <f t="shared" si="48"/>
        <v>18873.202422774786</v>
      </c>
      <c r="F143" s="137">
        <f t="shared" si="48"/>
        <v>16846.418464947783</v>
      </c>
      <c r="G143" s="137">
        <f t="shared" si="48"/>
        <v>23318.174522416532</v>
      </c>
      <c r="H143" s="137">
        <f t="shared" si="48"/>
        <v>2845.3839087373012</v>
      </c>
      <c r="I143" s="137">
        <f t="shared" si="48"/>
        <v>4567.1165597280997</v>
      </c>
      <c r="J143" s="137">
        <f t="shared" si="48"/>
        <v>3715.1242313227158</v>
      </c>
      <c r="K143" s="137">
        <f t="shared" si="48"/>
        <v>550.38076618264006</v>
      </c>
      <c r="L143" s="137">
        <f t="shared" si="48"/>
        <v>934.5</v>
      </c>
      <c r="M143" s="143">
        <f t="shared" si="48"/>
        <v>74104.900121673636</v>
      </c>
      <c r="N143" s="137">
        <f t="shared" si="48"/>
        <v>61883.179318876406</v>
      </c>
      <c r="O143" s="144">
        <f t="shared" si="48"/>
        <v>9767.121557233455</v>
      </c>
    </row>
    <row r="144" spans="1:15" x14ac:dyDescent="0.2">
      <c r="A144" s="176"/>
      <c r="B144" s="177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9"/>
      <c r="N144" s="180"/>
      <c r="O144" s="181"/>
    </row>
    <row r="145" spans="1:15" ht="16" thickBot="1" x14ac:dyDescent="0.25">
      <c r="A145" s="182" t="s">
        <v>117</v>
      </c>
      <c r="B145" s="183"/>
      <c r="C145" s="184"/>
      <c r="D145" s="184"/>
      <c r="E145" s="185"/>
      <c r="F145" s="184"/>
      <c r="G145" s="184"/>
      <c r="H145" s="186"/>
      <c r="I145" s="186"/>
      <c r="J145" s="184"/>
      <c r="K145" s="184"/>
      <c r="L145" s="186" t="s">
        <v>86</v>
      </c>
      <c r="M145" s="187"/>
      <c r="N145" s="184"/>
      <c r="O145" s="188"/>
    </row>
    <row r="146" spans="1:15" ht="16" x14ac:dyDescent="0.2">
      <c r="A146" s="189" t="s">
        <v>79</v>
      </c>
      <c r="B146" s="190"/>
      <c r="C146" s="191"/>
      <c r="D146" s="191"/>
      <c r="E146" s="191"/>
      <c r="F146" s="191"/>
      <c r="G146" s="191"/>
      <c r="H146" s="191"/>
      <c r="I146" s="191"/>
      <c r="J146" s="191"/>
      <c r="K146" s="191"/>
      <c r="L146" s="191"/>
      <c r="M146" s="192"/>
      <c r="N146" s="191"/>
      <c r="O146" s="193"/>
    </row>
    <row r="147" spans="1:15" ht="16" x14ac:dyDescent="0.2">
      <c r="A147" s="194" t="s">
        <v>118</v>
      </c>
      <c r="B147" s="195">
        <f t="shared" ref="B147:O147" si="49">+B84/B83*100</f>
        <v>12.10359495485798</v>
      </c>
      <c r="C147" s="196">
        <f t="shared" si="49"/>
        <v>9.4819398612043031</v>
      </c>
      <c r="D147" s="196">
        <f t="shared" si="49"/>
        <v>14.999087637549049</v>
      </c>
      <c r="E147" s="196">
        <f t="shared" si="49"/>
        <v>10.268676236875992</v>
      </c>
      <c r="F147" s="196">
        <f t="shared" si="49"/>
        <v>11.528332955040172</v>
      </c>
      <c r="G147" s="196">
        <f t="shared" si="49"/>
        <v>14.692844109867064</v>
      </c>
      <c r="H147" s="196">
        <f t="shared" si="49"/>
        <v>15.052741518174775</v>
      </c>
      <c r="I147" s="196">
        <f t="shared" si="49"/>
        <v>11.083105674260683</v>
      </c>
      <c r="J147" s="196">
        <f t="shared" si="49"/>
        <v>20.431853424590113</v>
      </c>
      <c r="K147" s="196">
        <f t="shared" si="49"/>
        <v>13.299220189717426</v>
      </c>
      <c r="L147" s="196">
        <f t="shared" si="49"/>
        <v>10.653974484047399</v>
      </c>
      <c r="M147" s="197">
        <f t="shared" si="49"/>
        <v>11.688125841338731</v>
      </c>
      <c r="N147" s="196">
        <f t="shared" si="49"/>
        <v>12.394755122713638</v>
      </c>
      <c r="O147" s="198">
        <f t="shared" si="49"/>
        <v>12.839249374024947</v>
      </c>
    </row>
    <row r="148" spans="1:15" ht="16" x14ac:dyDescent="0.2">
      <c r="A148" s="194" t="s">
        <v>119</v>
      </c>
      <c r="B148" s="195">
        <f t="shared" ref="B148:O148" si="50">100*B85/B83</f>
        <v>10.156629415498459</v>
      </c>
      <c r="C148" s="196">
        <f t="shared" si="50"/>
        <v>7.829218416901913</v>
      </c>
      <c r="D148" s="196">
        <f t="shared" si="50"/>
        <v>12.313833957686292</v>
      </c>
      <c r="E148" s="196">
        <f t="shared" si="50"/>
        <v>9.3082926722758561</v>
      </c>
      <c r="F148" s="196">
        <f t="shared" si="50"/>
        <v>9.444313757649633</v>
      </c>
      <c r="G148" s="196">
        <f t="shared" si="50"/>
        <v>12.133124821158681</v>
      </c>
      <c r="H148" s="196">
        <f t="shared" si="50"/>
        <v>13.102087780680987</v>
      </c>
      <c r="I148" s="196">
        <f t="shared" si="50"/>
        <v>9.3426498912681648</v>
      </c>
      <c r="J148" s="196">
        <f t="shared" si="50"/>
        <v>16.846798700831201</v>
      </c>
      <c r="K148" s="196">
        <f t="shared" si="50"/>
        <v>11.057136696235293</v>
      </c>
      <c r="L148" s="196">
        <f t="shared" si="50"/>
        <v>9.1089860970919307</v>
      </c>
      <c r="M148" s="197">
        <f t="shared" si="50"/>
        <v>9.6225174789267562</v>
      </c>
      <c r="N148" s="196">
        <f t="shared" si="50"/>
        <v>10.61108572559858</v>
      </c>
      <c r="O148" s="198">
        <f t="shared" si="50"/>
        <v>10.743093902243121</v>
      </c>
    </row>
    <row r="149" spans="1:15" x14ac:dyDescent="0.2">
      <c r="A149" s="199" t="s">
        <v>120</v>
      </c>
      <c r="B149" s="200">
        <f t="shared" ref="B149:O149" si="51">100*B28/B6</f>
        <v>6.4656267640662222</v>
      </c>
      <c r="C149" s="201">
        <f t="shared" si="51"/>
        <v>5.1005490614623055</v>
      </c>
      <c r="D149" s="202">
        <f t="shared" si="51"/>
        <v>7.6439296877230358</v>
      </c>
      <c r="E149" s="202">
        <f t="shared" si="51"/>
        <v>5.8518431016278525</v>
      </c>
      <c r="F149" s="201">
        <f t="shared" si="51"/>
        <v>5.1822742612376693</v>
      </c>
      <c r="G149" s="202">
        <f t="shared" si="51"/>
        <v>7.5479136313232047</v>
      </c>
      <c r="H149" s="202">
        <f t="shared" si="51"/>
        <v>12.754188527627704</v>
      </c>
      <c r="I149" s="202">
        <f t="shared" si="51"/>
        <v>6.6511523904959882</v>
      </c>
      <c r="J149" s="202">
        <f t="shared" si="51"/>
        <v>7.1822821745801448</v>
      </c>
      <c r="K149" s="202">
        <f t="shared" si="51"/>
        <v>7.3429805027290023</v>
      </c>
      <c r="L149" s="201">
        <f t="shared" si="51"/>
        <v>2.2048902552453136</v>
      </c>
      <c r="M149" s="203">
        <f t="shared" si="51"/>
        <v>6.1979651592317468</v>
      </c>
      <c r="N149" s="202">
        <f t="shared" si="51"/>
        <v>5.9863039271787457</v>
      </c>
      <c r="O149" s="204">
        <f t="shared" si="51"/>
        <v>8.3541728471014256</v>
      </c>
    </row>
    <row r="150" spans="1:15" x14ac:dyDescent="0.2">
      <c r="A150" s="205" t="s">
        <v>121</v>
      </c>
      <c r="B150" s="206"/>
      <c r="C150" s="191"/>
      <c r="D150" s="191"/>
      <c r="E150" s="191"/>
      <c r="F150" s="191"/>
      <c r="G150" s="191"/>
      <c r="H150" s="191"/>
      <c r="I150" s="191"/>
      <c r="J150" s="191"/>
      <c r="K150" s="191"/>
      <c r="L150" s="191"/>
      <c r="M150" s="192"/>
      <c r="N150" s="191"/>
      <c r="O150" s="193"/>
    </row>
    <row r="151" spans="1:15" ht="16" x14ac:dyDescent="0.2">
      <c r="A151" s="194" t="s">
        <v>122</v>
      </c>
      <c r="B151" s="121">
        <f t="shared" ref="B151:O151" si="52">+B9/B8*100</f>
        <v>2.2060000779886209</v>
      </c>
      <c r="C151" s="207">
        <f t="shared" si="52"/>
        <v>2.2959510351332559</v>
      </c>
      <c r="D151" s="207">
        <f t="shared" si="52"/>
        <v>2.1239144868590745</v>
      </c>
      <c r="E151" s="207">
        <f t="shared" si="52"/>
        <v>2.2772239973023596</v>
      </c>
      <c r="F151" s="207">
        <f t="shared" si="52"/>
        <v>1.9181538489923753</v>
      </c>
      <c r="G151" s="207">
        <f t="shared" si="52"/>
        <v>1.7985264731993511</v>
      </c>
      <c r="H151" s="207">
        <f t="shared" si="52"/>
        <v>2.4841309007511181</v>
      </c>
      <c r="I151" s="207">
        <f t="shared" si="52"/>
        <v>2.8583685829475658</v>
      </c>
      <c r="J151" s="207">
        <f t="shared" si="52"/>
        <v>2.0979989082004025</v>
      </c>
      <c r="K151" s="207">
        <f t="shared" si="52"/>
        <v>2.0612002573747281</v>
      </c>
      <c r="L151" s="207">
        <f t="shared" si="52"/>
        <v>2.481694231896344</v>
      </c>
      <c r="M151" s="208">
        <f t="shared" si="52"/>
        <v>2.2258562950445948</v>
      </c>
      <c r="N151" s="207">
        <f t="shared" si="52"/>
        <v>2.1101717742019792</v>
      </c>
      <c r="O151" s="209">
        <f t="shared" si="52"/>
        <v>2.4646466305059036</v>
      </c>
    </row>
    <row r="152" spans="1:15" x14ac:dyDescent="0.2">
      <c r="A152" s="199" t="s">
        <v>123</v>
      </c>
      <c r="B152" s="210">
        <f t="shared" ref="B152:O152" si="53">100*B93/B8</f>
        <v>1.8803696578429112</v>
      </c>
      <c r="C152" s="201">
        <f t="shared" si="53"/>
        <v>1.1292212575819121</v>
      </c>
      <c r="D152" s="201">
        <f t="shared" si="53"/>
        <v>1.5375603777665634</v>
      </c>
      <c r="E152" s="201">
        <f t="shared" si="53"/>
        <v>1.2255062799650027</v>
      </c>
      <c r="F152" s="201">
        <f t="shared" si="53"/>
        <v>0.95231945091491121</v>
      </c>
      <c r="G152" s="201">
        <f t="shared" si="53"/>
        <v>1.7882006019855965</v>
      </c>
      <c r="H152" s="202">
        <f t="shared" si="53"/>
        <v>9.9379773832186391</v>
      </c>
      <c r="I152" s="201">
        <f t="shared" si="53"/>
        <v>0.97099739243990846</v>
      </c>
      <c r="J152" s="201">
        <f t="shared" si="53"/>
        <v>0.82737114007727797</v>
      </c>
      <c r="K152" s="201">
        <f t="shared" si="53"/>
        <v>0.81437152839021965</v>
      </c>
      <c r="L152" s="201">
        <f t="shared" si="53"/>
        <v>1.2093564381013195</v>
      </c>
      <c r="M152" s="203">
        <f t="shared" si="53"/>
        <v>1.2955953495089307</v>
      </c>
      <c r="N152" s="202">
        <f t="shared" si="53"/>
        <v>2.7272114145397799</v>
      </c>
      <c r="O152" s="204">
        <f t="shared" si="53"/>
        <v>0.95143481335501556</v>
      </c>
    </row>
    <row r="153" spans="1:15" x14ac:dyDescent="0.2">
      <c r="A153" s="199" t="s">
        <v>124</v>
      </c>
      <c r="B153" s="210">
        <f t="shared" ref="B153:O153" si="54">100*B10/B9</f>
        <v>85.238875401916957</v>
      </c>
      <c r="C153" s="202">
        <f t="shared" si="54"/>
        <v>49.183159409859655</v>
      </c>
      <c r="D153" s="202">
        <f t="shared" si="54"/>
        <v>72.392762857433397</v>
      </c>
      <c r="E153" s="202">
        <f t="shared" si="54"/>
        <v>53.815798595867577</v>
      </c>
      <c r="F153" s="202">
        <f t="shared" si="54"/>
        <v>49.647709510640858</v>
      </c>
      <c r="G153" s="202">
        <f t="shared" si="54"/>
        <v>99.425870490780909</v>
      </c>
      <c r="H153" s="202">
        <f t="shared" si="54"/>
        <v>400.05852268951389</v>
      </c>
      <c r="I153" s="202">
        <f t="shared" si="54"/>
        <v>33.970335324586109</v>
      </c>
      <c r="J153" s="202">
        <f t="shared" si="54"/>
        <v>39.436204511039094</v>
      </c>
      <c r="K153" s="202">
        <f t="shared" si="54"/>
        <v>39.509578240954305</v>
      </c>
      <c r="L153" s="202">
        <f t="shared" si="54"/>
        <v>48.731081474820151</v>
      </c>
      <c r="M153" s="203">
        <f t="shared" si="54"/>
        <v>58.206603561663165</v>
      </c>
      <c r="N153" s="202">
        <f t="shared" si="54"/>
        <v>129.24120433613285</v>
      </c>
      <c r="O153" s="204">
        <f t="shared" si="54"/>
        <v>38.603295157152814</v>
      </c>
    </row>
    <row r="154" spans="1:15" x14ac:dyDescent="0.2">
      <c r="A154" s="199" t="s">
        <v>125</v>
      </c>
      <c r="B154" s="210">
        <f t="shared" ref="B154:O154" si="55">100*(B9-B10)/B84</f>
        <v>2.4084018966875593</v>
      </c>
      <c r="C154" s="202">
        <f t="shared" si="55"/>
        <v>9.9072255617425604</v>
      </c>
      <c r="D154" s="202">
        <f t="shared" si="55"/>
        <v>3.2480240915437402</v>
      </c>
      <c r="E154" s="202">
        <f t="shared" si="55"/>
        <v>8.9669037754081877</v>
      </c>
      <c r="F154" s="202">
        <f t="shared" si="55"/>
        <v>9.3021094778060718</v>
      </c>
      <c r="G154" s="202">
        <f t="shared" si="55"/>
        <v>5.2228131569604909E-2</v>
      </c>
      <c r="H154" s="202">
        <f t="shared" si="55"/>
        <v>-42.547160515466764</v>
      </c>
      <c r="I154" s="202">
        <f t="shared" si="55"/>
        <v>15.182303623095171</v>
      </c>
      <c r="J154" s="202">
        <f t="shared" si="55"/>
        <v>10.160131035190213</v>
      </c>
      <c r="K154" s="202">
        <f t="shared" si="55"/>
        <v>10.559202223963032</v>
      </c>
      <c r="L154" s="202">
        <f t="shared" si="55"/>
        <v>39.127646416964105</v>
      </c>
      <c r="M154" s="203">
        <f t="shared" si="55"/>
        <v>6.4900316652171757</v>
      </c>
      <c r="N154" s="202">
        <f t="shared" si="55"/>
        <v>-4.543877351524479</v>
      </c>
      <c r="O154" s="204">
        <f t="shared" si="55"/>
        <v>14.24105486076412</v>
      </c>
    </row>
    <row r="155" spans="1:15" x14ac:dyDescent="0.2">
      <c r="A155" s="199" t="s">
        <v>126</v>
      </c>
      <c r="B155" s="210">
        <f t="shared" ref="B155:O155" si="56">100*SUM(B97:B101)/B28</f>
        <v>189.66179630154863</v>
      </c>
      <c r="C155" s="201">
        <f t="shared" si="56"/>
        <v>243.81437489548668</v>
      </c>
      <c r="D155" s="202">
        <f t="shared" si="56"/>
        <v>145.18813845755784</v>
      </c>
      <c r="E155" s="201">
        <f t="shared" si="56"/>
        <v>201.06349936862659</v>
      </c>
      <c r="F155" s="201">
        <f t="shared" si="56"/>
        <v>224.25756609278332</v>
      </c>
      <c r="G155" s="202">
        <f t="shared" si="56"/>
        <v>140.79390778317517</v>
      </c>
      <c r="H155" s="202">
        <f t="shared" si="56"/>
        <v>152.9911014241984</v>
      </c>
      <c r="I155" s="202">
        <f t="shared" si="56"/>
        <v>194.68536008036074</v>
      </c>
      <c r="J155" s="202">
        <f t="shared" si="56"/>
        <v>215.89814949778724</v>
      </c>
      <c r="K155" s="202">
        <f t="shared" si="56"/>
        <v>255.67913728613209</v>
      </c>
      <c r="L155" s="202">
        <f t="shared" si="56"/>
        <v>186.1686887432972</v>
      </c>
      <c r="M155" s="203">
        <f t="shared" si="56"/>
        <v>191.33121422613874</v>
      </c>
      <c r="N155" s="202">
        <f t="shared" si="56"/>
        <v>236.02994223608263</v>
      </c>
      <c r="O155" s="204">
        <f t="shared" si="56"/>
        <v>106.00916893424291</v>
      </c>
    </row>
    <row r="156" spans="1:15" ht="16" x14ac:dyDescent="0.2">
      <c r="A156" s="211" t="s">
        <v>127</v>
      </c>
      <c r="B156" s="212">
        <f t="shared" ref="B156:O156" si="57">100*B141/B8</f>
        <v>19.363249145098951</v>
      </c>
      <c r="C156" s="202">
        <f t="shared" si="57"/>
        <v>21.933069102624231</v>
      </c>
      <c r="D156" s="202">
        <f t="shared" si="57"/>
        <v>20.397449584585875</v>
      </c>
      <c r="E156" s="202">
        <f t="shared" si="57"/>
        <v>21.040372877547544</v>
      </c>
      <c r="F156" s="202">
        <f t="shared" si="57"/>
        <v>19.143779884338457</v>
      </c>
      <c r="G156" s="202">
        <f t="shared" si="57"/>
        <v>16.164488131737606</v>
      </c>
      <c r="H156" s="202">
        <f t="shared" si="57"/>
        <v>14.094708342821038</v>
      </c>
      <c r="I156" s="202">
        <f t="shared" si="57"/>
        <v>14.709015347608473</v>
      </c>
      <c r="J156" s="202">
        <f t="shared" si="57"/>
        <v>14.186922844748432</v>
      </c>
      <c r="K156" s="202">
        <f t="shared" si="57"/>
        <v>28.056456788334781</v>
      </c>
      <c r="L156" s="202">
        <f t="shared" si="57"/>
        <v>5.8974076171172278</v>
      </c>
      <c r="M156" s="203">
        <f t="shared" si="57"/>
        <v>21.307394778930959</v>
      </c>
      <c r="N156" s="202">
        <f t="shared" si="57"/>
        <v>18.38570326231299</v>
      </c>
      <c r="O156" s="204">
        <f t="shared" si="57"/>
        <v>16.228742289271576</v>
      </c>
    </row>
    <row r="157" spans="1:15" ht="16" x14ac:dyDescent="0.2">
      <c r="A157" s="211" t="s">
        <v>128</v>
      </c>
      <c r="B157" s="195">
        <f t="shared" ref="B157:O157" si="58">100*B83/B6</f>
        <v>71.139352021990575</v>
      </c>
      <c r="C157" s="213">
        <f t="shared" si="58"/>
        <v>79.900905563081665</v>
      </c>
      <c r="D157" s="213">
        <f t="shared" si="58"/>
        <v>70.149723728706505</v>
      </c>
      <c r="E157" s="213">
        <f t="shared" si="58"/>
        <v>66.114184740051371</v>
      </c>
      <c r="F157" s="214">
        <f t="shared" si="58"/>
        <v>58.423314161754327</v>
      </c>
      <c r="G157" s="213">
        <f t="shared" si="58"/>
        <v>68.429437637305824</v>
      </c>
      <c r="H157" s="213">
        <f t="shared" si="58"/>
        <v>104.20822687289112</v>
      </c>
      <c r="I157" s="213">
        <f t="shared" si="58"/>
        <v>79.092994558961138</v>
      </c>
      <c r="J157" s="202">
        <f t="shared" si="58"/>
        <v>45.818358487188782</v>
      </c>
      <c r="K157" s="202">
        <f t="shared" si="58"/>
        <v>72.668642414202267</v>
      </c>
      <c r="L157" s="201">
        <f t="shared" si="58"/>
        <v>25.663294799726078</v>
      </c>
      <c r="M157" s="215">
        <f t="shared" si="58"/>
        <v>75.693472429861259</v>
      </c>
      <c r="N157" s="213">
        <f t="shared" si="58"/>
        <v>78.031524594028596</v>
      </c>
      <c r="O157" s="216">
        <f t="shared" si="58"/>
        <v>42.058713562581161</v>
      </c>
    </row>
    <row r="158" spans="1:15" x14ac:dyDescent="0.2">
      <c r="A158" s="205" t="s">
        <v>129</v>
      </c>
      <c r="B158" s="206"/>
      <c r="C158" s="191"/>
      <c r="D158" s="191"/>
      <c r="E158" s="191"/>
      <c r="F158" s="191"/>
      <c r="G158" s="191"/>
      <c r="H158" s="191"/>
      <c r="I158" s="191"/>
      <c r="J158" s="202"/>
      <c r="K158" s="202"/>
      <c r="L158" s="202"/>
      <c r="M158" s="192"/>
      <c r="N158" s="191"/>
      <c r="O158" s="193"/>
    </row>
    <row r="159" spans="1:15" ht="16" x14ac:dyDescent="0.2">
      <c r="A159" s="194" t="s">
        <v>130</v>
      </c>
      <c r="B159" s="195">
        <f t="shared" ref="B159:O159" si="59">100*B41/B6</f>
        <v>0.62989474034756243</v>
      </c>
      <c r="C159" s="213">
        <f t="shared" si="59"/>
        <v>0.54181601542368329</v>
      </c>
      <c r="D159" s="213">
        <f t="shared" si="59"/>
        <v>1.0281688496922134</v>
      </c>
      <c r="E159" s="213">
        <f t="shared" si="59"/>
        <v>0.76234010051657575</v>
      </c>
      <c r="F159" s="213">
        <f t="shared" si="59"/>
        <v>0.32494363565912643</v>
      </c>
      <c r="G159" s="213">
        <f t="shared" si="59"/>
        <v>0.24323888647777295</v>
      </c>
      <c r="H159" s="213">
        <f t="shared" si="59"/>
        <v>1.966978132489317</v>
      </c>
      <c r="I159" s="213">
        <f t="shared" si="59"/>
        <v>-0.23884781618867931</v>
      </c>
      <c r="J159" s="202">
        <f t="shared" si="59"/>
        <v>0.3064910084215251</v>
      </c>
      <c r="K159" s="202">
        <f t="shared" si="59"/>
        <v>0.16212981012811001</v>
      </c>
      <c r="L159" s="202">
        <f t="shared" si="59"/>
        <v>0.20937221811111589</v>
      </c>
      <c r="M159" s="215">
        <f t="shared" si="59"/>
        <v>0.75166719696184292</v>
      </c>
      <c r="N159" s="213">
        <f t="shared" si="59"/>
        <v>0.74704702252998689</v>
      </c>
      <c r="O159" s="216">
        <f t="shared" si="59"/>
        <v>1.4509966127787167E-2</v>
      </c>
    </row>
    <row r="160" spans="1:15" ht="16" x14ac:dyDescent="0.2">
      <c r="A160" s="194" t="s">
        <v>131</v>
      </c>
      <c r="B160" s="195">
        <f t="shared" ref="B160:O160" si="60">100*B41/B28</f>
        <v>9.7422069558407767</v>
      </c>
      <c r="C160" s="213">
        <f t="shared" si="60"/>
        <v>10.622699809270085</v>
      </c>
      <c r="D160" s="213">
        <f t="shared" si="60"/>
        <v>13.450788948825132</v>
      </c>
      <c r="E160" s="213">
        <f t="shared" si="60"/>
        <v>13.027350311297814</v>
      </c>
      <c r="F160" s="213">
        <f t="shared" si="60"/>
        <v>6.2702902100268414</v>
      </c>
      <c r="G160" s="213">
        <f t="shared" si="60"/>
        <v>3.222597639013145</v>
      </c>
      <c r="H160" s="213">
        <f t="shared" si="60"/>
        <v>15.422213088888512</v>
      </c>
      <c r="I160" s="213">
        <f t="shared" si="60"/>
        <v>-3.5910741803176158</v>
      </c>
      <c r="J160" s="202">
        <f t="shared" si="60"/>
        <v>4.2673206227718516</v>
      </c>
      <c r="K160" s="202">
        <f t="shared" si="60"/>
        <v>2.2079564295159826</v>
      </c>
      <c r="L160" s="202">
        <f t="shared" si="60"/>
        <v>9.4958113045776678</v>
      </c>
      <c r="M160" s="215">
        <f t="shared" si="60"/>
        <v>12.127644761640026</v>
      </c>
      <c r="N160" s="213">
        <f t="shared" si="60"/>
        <v>12.479269873657397</v>
      </c>
      <c r="O160" s="216">
        <f t="shared" si="60"/>
        <v>0.173685251590426</v>
      </c>
    </row>
    <row r="161" spans="1:15" x14ac:dyDescent="0.2">
      <c r="A161" s="205" t="s">
        <v>132</v>
      </c>
      <c r="B161" s="206"/>
      <c r="C161" s="191"/>
      <c r="D161" s="191"/>
      <c r="E161" s="191"/>
      <c r="F161" s="191"/>
      <c r="G161" s="191"/>
      <c r="H161" s="191"/>
      <c r="I161" s="191"/>
      <c r="J161" s="191"/>
      <c r="K161" s="191"/>
      <c r="L161" s="191"/>
      <c r="M161" s="192"/>
      <c r="N161" s="191"/>
      <c r="O161" s="193"/>
    </row>
    <row r="162" spans="1:15" x14ac:dyDescent="0.2">
      <c r="A162" s="199" t="s">
        <v>133</v>
      </c>
      <c r="B162" s="212">
        <f t="shared" ref="B162:O162" si="61">100*B88/B6</f>
        <v>13.026956782804119</v>
      </c>
      <c r="C162" s="217">
        <f t="shared" si="61"/>
        <v>13.069766626651818</v>
      </c>
      <c r="D162" s="217">
        <f t="shared" si="61"/>
        <v>14.001280402258738</v>
      </c>
      <c r="E162" s="217">
        <f t="shared" si="61"/>
        <v>15.028066221999371</v>
      </c>
      <c r="F162" s="217">
        <f t="shared" si="61"/>
        <v>10.661210686704626</v>
      </c>
      <c r="G162" s="217">
        <f t="shared" si="61"/>
        <v>15.801822803645607</v>
      </c>
      <c r="H162" s="217">
        <f t="shared" si="61"/>
        <v>8.9923586959448691</v>
      </c>
      <c r="I162" s="217">
        <f t="shared" si="61"/>
        <v>13.62357399856027</v>
      </c>
      <c r="J162" s="217">
        <f t="shared" si="61"/>
        <v>10.048653687665547</v>
      </c>
      <c r="K162" s="217">
        <f t="shared" si="61"/>
        <v>11.592221468991434</v>
      </c>
      <c r="L162" s="217">
        <f t="shared" si="61"/>
        <v>6.3787905324259411</v>
      </c>
      <c r="M162" s="203">
        <f t="shared" si="61"/>
        <v>13.471695540511613</v>
      </c>
      <c r="N162" s="202">
        <f t="shared" si="61"/>
        <v>14.779852519559126</v>
      </c>
      <c r="O162" s="204">
        <f t="shared" si="61"/>
        <v>7.5782122297223049</v>
      </c>
    </row>
    <row r="163" spans="1:15" ht="16" x14ac:dyDescent="0.2">
      <c r="A163" s="194" t="s">
        <v>134</v>
      </c>
      <c r="B163" s="218">
        <f t="shared" ref="B163:O163" si="62">100*B88/B89</f>
        <v>15.032020944184508</v>
      </c>
      <c r="C163" s="202">
        <f t="shared" si="62"/>
        <v>15.008076648821408</v>
      </c>
      <c r="D163" s="202">
        <f t="shared" si="62"/>
        <v>14.421505487516786</v>
      </c>
      <c r="E163" s="202">
        <f t="shared" si="62"/>
        <v>20.113961809186396</v>
      </c>
      <c r="F163" s="202">
        <f t="shared" si="62"/>
        <v>10.979439180340497</v>
      </c>
      <c r="G163" s="202">
        <f t="shared" si="62"/>
        <v>19.025479019298125</v>
      </c>
      <c r="H163" s="202">
        <f t="shared" si="62"/>
        <v>21.044811572283141</v>
      </c>
      <c r="I163" s="202">
        <f t="shared" si="62"/>
        <v>15.256373486297004</v>
      </c>
      <c r="J163" s="201">
        <f t="shared" si="62"/>
        <v>8.8631781524926687</v>
      </c>
      <c r="K163" s="202">
        <f t="shared" si="62"/>
        <v>15.360686060198418</v>
      </c>
      <c r="L163" s="202">
        <f t="shared" si="62"/>
        <v>5.5779875727475607</v>
      </c>
      <c r="M163" s="203">
        <f t="shared" si="62"/>
        <v>14.739238670588325</v>
      </c>
      <c r="N163" s="202">
        <f t="shared" si="62"/>
        <v>16.239882351470293</v>
      </c>
      <c r="O163" s="204">
        <f t="shared" si="62"/>
        <v>11.98653560264766</v>
      </c>
    </row>
    <row r="164" spans="1:15" x14ac:dyDescent="0.2">
      <c r="A164" s="205" t="s">
        <v>135</v>
      </c>
      <c r="B164" s="219"/>
      <c r="C164" s="191"/>
      <c r="D164" s="191"/>
      <c r="E164" s="191"/>
      <c r="F164" s="191"/>
      <c r="G164" s="191"/>
      <c r="H164" s="191"/>
      <c r="I164" s="191"/>
      <c r="J164" s="191"/>
      <c r="K164" s="191"/>
      <c r="L164" s="191"/>
      <c r="M164" s="192"/>
      <c r="N164" s="191"/>
      <c r="O164" s="193"/>
    </row>
    <row r="165" spans="1:15" x14ac:dyDescent="0.2">
      <c r="A165" s="220" t="s">
        <v>136</v>
      </c>
      <c r="B165" s="218">
        <f t="shared" ref="B165:O165" si="63">100*(B128+B129-B134-B135)/B84</f>
        <v>-22.306482593816675</v>
      </c>
      <c r="C165" s="213">
        <f t="shared" si="63"/>
        <v>-31.911414314610234</v>
      </c>
      <c r="D165" s="213">
        <f t="shared" si="63"/>
        <v>-74.79540059527551</v>
      </c>
      <c r="E165" s="213">
        <f t="shared" si="63"/>
        <v>-47.869818288083636</v>
      </c>
      <c r="F165" s="213">
        <f t="shared" si="63"/>
        <v>53.267435939451452</v>
      </c>
      <c r="G165" s="213">
        <f t="shared" si="63"/>
        <v>-42.772363162781097</v>
      </c>
      <c r="H165" s="213">
        <f t="shared" si="63"/>
        <v>112.02433183399455</v>
      </c>
      <c r="I165" s="213">
        <f t="shared" si="63"/>
        <v>-8.0400399650788135</v>
      </c>
      <c r="J165" s="213">
        <f t="shared" si="63"/>
        <v>5.4150584091864813</v>
      </c>
      <c r="K165" s="213">
        <f t="shared" si="63"/>
        <v>11.32200081539874</v>
      </c>
      <c r="L165" s="213">
        <f t="shared" si="63"/>
        <v>-826.22116145147527</v>
      </c>
      <c r="M165" s="215">
        <f t="shared" si="63"/>
        <v>-53.917490693703961</v>
      </c>
      <c r="N165" s="213">
        <f t="shared" si="63"/>
        <v>15.741856426222459</v>
      </c>
      <c r="O165" s="216">
        <f t="shared" si="63"/>
        <v>-45.599346542021685</v>
      </c>
    </row>
    <row r="166" spans="1:15" x14ac:dyDescent="0.2">
      <c r="A166" s="199" t="s">
        <v>137</v>
      </c>
      <c r="B166" s="212">
        <f t="shared" ref="B166:O166" si="64">100*B140/B84</f>
        <v>-3.7887991309607929</v>
      </c>
      <c r="C166" s="202">
        <f t="shared" si="64"/>
        <v>-4.6681215625899082</v>
      </c>
      <c r="D166" s="202">
        <f t="shared" si="64"/>
        <v>-3.5991258584464432</v>
      </c>
      <c r="E166" s="202">
        <f t="shared" si="64"/>
        <v>-3.1325553615030723</v>
      </c>
      <c r="F166" s="202">
        <f t="shared" si="64"/>
        <v>-3.3979745547160851</v>
      </c>
      <c r="G166" s="202">
        <f t="shared" si="64"/>
        <v>-3.1246623954009847</v>
      </c>
      <c r="H166" s="202">
        <f t="shared" si="64"/>
        <v>-4.3495827791472035</v>
      </c>
      <c r="I166" s="202">
        <f t="shared" si="64"/>
        <v>-3.1719137067104652</v>
      </c>
      <c r="J166" s="202">
        <f t="shared" si="64"/>
        <v>-4.16383879471769</v>
      </c>
      <c r="K166" s="202">
        <f t="shared" si="64"/>
        <v>-4.1660146369862403</v>
      </c>
      <c r="L166" s="202">
        <f t="shared" si="64"/>
        <v>-3.8536669281905565</v>
      </c>
      <c r="M166" s="203">
        <f t="shared" si="64"/>
        <v>-4.1195624580248031</v>
      </c>
      <c r="N166" s="202">
        <f t="shared" si="64"/>
        <v>-3.4720274663403647</v>
      </c>
      <c r="O166" s="204">
        <f t="shared" si="64"/>
        <v>-3.6805148469621063</v>
      </c>
    </row>
    <row r="167" spans="1:15" x14ac:dyDescent="0.2">
      <c r="A167" s="199" t="s">
        <v>138</v>
      </c>
      <c r="B167" s="212">
        <f t="shared" ref="B167:O167" si="65">100*B13/B28</f>
        <v>50.422036585503221</v>
      </c>
      <c r="C167" s="202">
        <f t="shared" si="65"/>
        <v>43.322506047423339</v>
      </c>
      <c r="D167" s="202">
        <f t="shared" si="65"/>
        <v>75.064986380578475</v>
      </c>
      <c r="E167" s="202">
        <f t="shared" si="65"/>
        <v>47.010336258244962</v>
      </c>
      <c r="F167" s="202">
        <f t="shared" si="65"/>
        <v>48.63348654455686</v>
      </c>
      <c r="G167" s="201">
        <f t="shared" si="65"/>
        <v>76.616123737801786</v>
      </c>
      <c r="H167" s="202">
        <f t="shared" si="65"/>
        <v>9.2422318787365541</v>
      </c>
      <c r="I167" s="202">
        <f t="shared" si="65"/>
        <v>32.567224694480906</v>
      </c>
      <c r="J167" s="202">
        <f t="shared" si="65"/>
        <v>59.714858963853999</v>
      </c>
      <c r="K167" s="202">
        <f t="shared" si="65"/>
        <v>6.8923909743075518</v>
      </c>
      <c r="L167" s="202">
        <f t="shared" si="65"/>
        <v>53.021244273606278</v>
      </c>
      <c r="M167" s="203">
        <f t="shared" si="65"/>
        <v>60.214012359915273</v>
      </c>
      <c r="N167" s="202">
        <f t="shared" si="65"/>
        <v>58.812272700701925</v>
      </c>
      <c r="O167" s="204">
        <f t="shared" si="65"/>
        <v>16.069709832272771</v>
      </c>
    </row>
    <row r="168" spans="1:15" x14ac:dyDescent="0.2">
      <c r="A168" s="221" t="s">
        <v>139</v>
      </c>
      <c r="B168" s="222"/>
      <c r="C168" s="191"/>
      <c r="D168" s="191"/>
      <c r="E168" s="191"/>
      <c r="F168" s="191"/>
      <c r="G168" s="191"/>
      <c r="H168" s="191"/>
      <c r="I168" s="191"/>
      <c r="J168" s="191"/>
      <c r="K168" s="191"/>
      <c r="L168" s="191"/>
      <c r="M168" s="192"/>
      <c r="N168" s="191"/>
      <c r="O168" s="193"/>
    </row>
    <row r="169" spans="1:15" x14ac:dyDescent="0.2">
      <c r="A169" s="220" t="s">
        <v>140</v>
      </c>
      <c r="B169" s="223">
        <f t="shared" ref="B169:L169" si="66">100*B6/$B$6</f>
        <v>100</v>
      </c>
      <c r="C169" s="224">
        <f t="shared" si="66"/>
        <v>25.249539511266139</v>
      </c>
      <c r="D169" s="224">
        <f t="shared" si="66"/>
        <v>19.163161042297979</v>
      </c>
      <c r="E169" s="224">
        <f t="shared" si="66"/>
        <v>15.34498683652494</v>
      </c>
      <c r="F169" s="224">
        <f t="shared" si="66"/>
        <v>14.950604019806589</v>
      </c>
      <c r="G169" s="224">
        <f t="shared" si="66"/>
        <v>9.0189172854078521</v>
      </c>
      <c r="H169" s="225">
        <f t="shared" si="66"/>
        <v>5.3990597269435598</v>
      </c>
      <c r="I169" s="225">
        <f t="shared" si="66"/>
        <v>4.7159739767239524</v>
      </c>
      <c r="J169" s="225">
        <f t="shared" si="66"/>
        <v>1.9374719326659744</v>
      </c>
      <c r="K169" s="225">
        <f t="shared" si="66"/>
        <v>2.4323603856390901</v>
      </c>
      <c r="L169" s="225">
        <f t="shared" si="66"/>
        <v>1.7879252827239434</v>
      </c>
      <c r="M169" s="226">
        <f t="shared" ref="M169" si="67">SUM(C169:D169)</f>
        <v>44.412700553564122</v>
      </c>
      <c r="N169" s="225">
        <f t="shared" ref="N169" si="68">SUM(E169:H169)</f>
        <v>44.713567868682944</v>
      </c>
      <c r="O169" s="227">
        <f t="shared" ref="O169" si="69">SUM(I169:L169)</f>
        <v>10.87373157775296</v>
      </c>
    </row>
    <row r="170" spans="1:15" ht="16" thickBot="1" x14ac:dyDescent="0.25">
      <c r="A170" s="228" t="s">
        <v>141</v>
      </c>
      <c r="B170" s="229">
        <f>100*B6/$B$172</f>
        <v>95.699765304167116</v>
      </c>
      <c r="C170" s="230">
        <f t="shared" ref="C170:O170" si="70">100*C6/$B$172</f>
        <v>24.163750052664639</v>
      </c>
      <c r="D170" s="230">
        <f t="shared" si="70"/>
        <v>18.339100142338747</v>
      </c>
      <c r="E170" s="230">
        <f t="shared" si="70"/>
        <v>14.685116388509705</v>
      </c>
      <c r="F170" s="230">
        <f t="shared" si="70"/>
        <v>14.30769295851028</v>
      </c>
      <c r="G170" s="231">
        <f t="shared" si="70"/>
        <v>8.6310826751122747</v>
      </c>
      <c r="H170" s="231">
        <f t="shared" si="70"/>
        <v>5.1668874873167931</v>
      </c>
      <c r="I170" s="231">
        <f t="shared" si="70"/>
        <v>4.5131760275304194</v>
      </c>
      <c r="J170" s="231">
        <f t="shared" si="70"/>
        <v>1.8541560923954483</v>
      </c>
      <c r="K170" s="231">
        <f t="shared" si="70"/>
        <v>2.3277631804081436</v>
      </c>
      <c r="L170" s="231">
        <f t="shared" si="70"/>
        <v>1.7110402993806801</v>
      </c>
      <c r="M170" s="232">
        <f t="shared" si="70"/>
        <v>42.502850195003383</v>
      </c>
      <c r="N170" s="231">
        <f t="shared" si="70"/>
        <v>37.62389202213226</v>
      </c>
      <c r="O170" s="233">
        <f t="shared" si="70"/>
        <v>15.573023087031483</v>
      </c>
    </row>
    <row r="171" spans="1:15" x14ac:dyDescent="0.2">
      <c r="C171" s="26" t="s">
        <v>86</v>
      </c>
    </row>
    <row r="172" spans="1:15" x14ac:dyDescent="0.2">
      <c r="A172" s="234" t="s">
        <v>142</v>
      </c>
      <c r="B172" s="235">
        <f>4671.77775*1000</f>
        <v>4671777.75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f3212bd-797d-4ecd-a8a7-8deb8b8877aa}" enabled="1" method="Standard" siteId="{703b977e-4eb6-4dfc-af2d-db5f73a01b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BS</vt:lpstr>
      <vt:lpstr>P&amp;L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Jitendra Barad</dc:creator>
  <cp:lastModifiedBy>Ashutosh Jaiswal</cp:lastModifiedBy>
  <dcterms:created xsi:type="dcterms:W3CDTF">2006-09-16T00:00:00Z</dcterms:created>
  <dcterms:modified xsi:type="dcterms:W3CDTF">2026-06-28T02:45:19Z</dcterms:modified>
</cp:coreProperties>
</file>